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MJ-FILE-01\Planificacion\2023\2023 Expediente PEI MJP\Modificaciones  PEI\"/>
    </mc:Choice>
  </mc:AlternateContent>
  <xr:revisionPtr revIDLastSave="0" documentId="13_ncr:1_{1B1C5768-B221-432D-A537-60DBF962679D}" xr6:coauthVersionLast="36" xr6:coauthVersionMax="36" xr10:uidLastSave="{00000000-0000-0000-0000-000000000000}"/>
  <bookViews>
    <workbookView xWindow="105" yWindow="465" windowWidth="33540" windowHeight="18645" tabRatio="500" firstSheet="1" activeTab="3" xr2:uid="{00000000-000D-0000-FFFF-FFFF00000000}"/>
  </bookViews>
  <sheets>
    <sheet name="MJP PEI 2022 2026" sheetId="13" r:id="rId1"/>
    <sheet name="Eje No 1" sheetId="2" r:id="rId2"/>
    <sheet name="Eje No 2" sheetId="5" r:id="rId3"/>
    <sheet name="Eje No 3" sheetId="6" r:id="rId4"/>
    <sheet name="Estimación Presupuestaría" sheetId="14" state="hidden" r:id="rId5"/>
    <sheet name="Cantidad " sheetId="16" state="hidden" r:id="rId6"/>
    <sheet name="Recursos Indicador N 3 Eje 1" sheetId="9" state="hidden" r:id="rId7"/>
    <sheet name="Hoja2" sheetId="10" state="hidden" r:id="rId8"/>
    <sheet name="Eje No 2 (2)" sheetId="11" state="hidden" r:id="rId9"/>
    <sheet name="Lista de Riesgos" sheetId="8" state="hidden" r:id="rId10"/>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4" i="5" l="1"/>
  <c r="P8" i="5"/>
  <c r="P15" i="6" l="1"/>
  <c r="P10" i="5" l="1"/>
  <c r="P12" i="2" l="1"/>
  <c r="P11" i="2" l="1"/>
  <c r="H29" i="10" l="1"/>
  <c r="I29" i="10" s="1"/>
  <c r="J29" i="10" s="1"/>
  <c r="K29" i="10" s="1"/>
  <c r="L29" i="10" s="1"/>
  <c r="L26" i="10"/>
  <c r="H26" i="10"/>
  <c r="I26" i="10" s="1"/>
  <c r="J26" i="10" s="1"/>
  <c r="K26" i="10" s="1"/>
  <c r="E9" i="14" l="1"/>
  <c r="L22" i="10" l="1"/>
  <c r="E22" i="10"/>
  <c r="K22" i="10"/>
  <c r="J22" i="10"/>
  <c r="I22" i="10"/>
  <c r="H22" i="10"/>
  <c r="P16" i="6" l="1"/>
  <c r="L19" i="10"/>
  <c r="K19" i="10"/>
  <c r="J19" i="10"/>
  <c r="I19" i="10"/>
  <c r="J8" i="10"/>
  <c r="I8" i="10"/>
  <c r="E8" i="10"/>
  <c r="F4" i="10"/>
  <c r="P17" i="6" l="1"/>
  <c r="D8" i="16" l="1"/>
  <c r="E8" i="16"/>
  <c r="F8" i="16"/>
  <c r="G8" i="16"/>
  <c r="H8" i="16"/>
  <c r="I8" i="16"/>
  <c r="C8" i="16"/>
  <c r="J11" i="5" l="1"/>
  <c r="E10" i="14" l="1"/>
  <c r="K9" i="11"/>
  <c r="K7" i="11"/>
  <c r="P10" i="6" l="1"/>
  <c r="P13" i="6"/>
  <c r="N6" i="2" l="1"/>
  <c r="M6" i="2"/>
  <c r="L6" i="2"/>
  <c r="K6" i="2"/>
  <c r="J6" i="2"/>
  <c r="I16" i="10" l="1"/>
  <c r="J16" i="10" s="1"/>
  <c r="K16" i="10" s="1"/>
  <c r="L16" i="10" s="1"/>
  <c r="P9" i="6"/>
  <c r="I12" i="10" l="1"/>
  <c r="J12" i="10" s="1"/>
  <c r="K12" i="10" s="1"/>
  <c r="L12" i="10" s="1"/>
  <c r="G4" i="10"/>
  <c r="H4" i="10" s="1"/>
  <c r="I4" i="10" s="1"/>
  <c r="P12" i="6"/>
  <c r="K8" i="10"/>
  <c r="P14" i="6"/>
  <c r="P8" i="6"/>
  <c r="P7" i="6"/>
  <c r="P18" i="6" s="1"/>
  <c r="L4" i="10"/>
  <c r="E11" i="14" l="1"/>
  <c r="E12" i="14" s="1"/>
  <c r="L8" i="10"/>
  <c r="M4" i="10"/>
  <c r="P13" i="5"/>
  <c r="P7" i="5"/>
  <c r="D16" i="9"/>
  <c r="D11" i="9" l="1"/>
  <c r="D15" i="9"/>
  <c r="D13" i="9"/>
  <c r="K45" i="9"/>
  <c r="N50" i="9"/>
  <c r="J50" i="9"/>
  <c r="K50" i="9"/>
  <c r="L50" i="9"/>
  <c r="M50" i="9"/>
  <c r="K49" i="9"/>
  <c r="K48" i="9"/>
  <c r="K47" i="9"/>
  <c r="K46" i="9"/>
  <c r="D54" i="9"/>
  <c r="E54" i="9"/>
  <c r="I48" i="9"/>
  <c r="I47" i="9"/>
  <c r="I46" i="9"/>
  <c r="I45" i="9"/>
  <c r="H48" i="9"/>
  <c r="H47" i="9"/>
  <c r="H46" i="9"/>
  <c r="H45" i="9"/>
  <c r="G48" i="9"/>
  <c r="G47" i="9"/>
  <c r="G46" i="9"/>
  <c r="G45" i="9"/>
  <c r="E48" i="9"/>
  <c r="E47" i="9"/>
  <c r="E46" i="9"/>
  <c r="E45" i="9"/>
  <c r="D48" i="9"/>
  <c r="D47" i="9"/>
  <c r="D46" i="9"/>
  <c r="D45" i="9"/>
  <c r="F50" i="9"/>
  <c r="N49" i="9"/>
  <c r="I7" i="9"/>
  <c r="I9" i="9" s="1"/>
  <c r="I6" i="9"/>
  <c r="I5" i="9"/>
  <c r="E7" i="9"/>
  <c r="E6" i="9"/>
  <c r="E5" i="9"/>
  <c r="E4" i="9"/>
  <c r="H24" i="9"/>
  <c r="G24" i="9"/>
  <c r="F24" i="9"/>
  <c r="E24" i="9"/>
  <c r="N8" i="9"/>
  <c r="F9" i="9"/>
  <c r="G9" i="9"/>
  <c r="H9" i="9"/>
  <c r="I4" i="9"/>
  <c r="H7" i="9"/>
  <c r="H6" i="9"/>
  <c r="H5" i="9"/>
  <c r="H4" i="9"/>
  <c r="D39" i="9"/>
  <c r="E39" i="9" s="1"/>
  <c r="F39" i="9" s="1"/>
  <c r="D34" i="9"/>
  <c r="E34" i="9"/>
  <c r="F34" i="9" s="1"/>
  <c r="D7" i="9"/>
  <c r="D6" i="9"/>
  <c r="D5" i="9"/>
  <c r="D4" i="9"/>
  <c r="E20" i="9"/>
  <c r="G7" i="9"/>
  <c r="G6" i="9"/>
  <c r="G5" i="9"/>
  <c r="G4" i="9"/>
  <c r="F29" i="9"/>
  <c r="E29" i="9"/>
  <c r="D29" i="9"/>
  <c r="D20" i="9"/>
  <c r="N45" i="9" l="1"/>
  <c r="I50" i="9"/>
  <c r="N48" i="9"/>
  <c r="H50" i="9"/>
  <c r="N47" i="9"/>
  <c r="N46" i="9"/>
  <c r="G50" i="9"/>
  <c r="E50" i="9"/>
  <c r="D50" i="9"/>
  <c r="N7" i="9"/>
  <c r="N4" i="9"/>
  <c r="N5" i="9"/>
  <c r="N6" i="9"/>
  <c r="D9" i="9"/>
  <c r="E9" i="9" l="1"/>
  <c r="N9" i="9" s="1"/>
</calcChain>
</file>

<file path=xl/sharedStrings.xml><?xml version="1.0" encoding="utf-8"?>
<sst xmlns="http://schemas.openxmlformats.org/spreadsheetml/2006/main" count="572" uniqueCount="325">
  <si>
    <t>Responsable</t>
  </si>
  <si>
    <t>Fortalecimiento del Sistema Nacional de Prevención de la Violencia y Promoción de la Paz.</t>
  </si>
  <si>
    <t>Generar oportunidades de mayor acceso a derechos humanos de las personas privadas de libertad, favoreciendo el desarrollo humano y la futura inserción social, en coordinación con organizaciones gubernamentales y no gubernamentales, como entes que aportan al mejoramiento de la calidad de vida para la inclusión al medio social.</t>
  </si>
  <si>
    <t>Fortalecimiento del Sistema Penitenciario Nacional.</t>
  </si>
  <si>
    <t>DIGEPAZ
DINARAC
ESPEC. PUB</t>
  </si>
  <si>
    <t>Comisión Evaluadora.</t>
  </si>
  <si>
    <t>Eje Estratégico</t>
  </si>
  <si>
    <t>Eje Temático</t>
  </si>
  <si>
    <t xml:space="preserve">Linea de Acción </t>
  </si>
  <si>
    <t>Medida</t>
  </si>
  <si>
    <t>Resultados esperados</t>
  </si>
  <si>
    <t xml:space="preserve">Nombre </t>
  </si>
  <si>
    <t>Formula</t>
  </si>
  <si>
    <t>Producto</t>
  </si>
  <si>
    <t>Linea Base</t>
  </si>
  <si>
    <t>Notas Técnica</t>
  </si>
  <si>
    <t>Indicador de Producto</t>
  </si>
  <si>
    <t>Sumatoria de acciones de prevención y promoción de la paz social, realizadas.</t>
  </si>
  <si>
    <t>Análisis de Riesgos</t>
  </si>
  <si>
    <t>Objetivos Estratégicos</t>
  </si>
  <si>
    <t>Modelos de atención penitenciaria</t>
  </si>
  <si>
    <t>Sistema de Información  y Comunicación, implementados.</t>
  </si>
  <si>
    <t>Cantidad de Sistemas de Información y Comunicación, implementados.</t>
  </si>
  <si>
    <t>Evaluación de impacto del Programa de  los Centros Cívicos por la paz, realizada.</t>
  </si>
  <si>
    <t>Sumatoria de los pesos ponderados de cada una de las etapas a desarrollar.</t>
  </si>
  <si>
    <t>Plan Único de Infraestructura, ejecutado.</t>
  </si>
  <si>
    <t>Porcentaje de avance de proyectos  ejecutados del Plan Único de Infraestructura, con respecto al total de proyectos.</t>
  </si>
  <si>
    <t>Fortalecimiento del Sistema Penitenciario Nacional, con enfoque de los derechos humanos.</t>
  </si>
  <si>
    <t>Modelo de gestión orientado a potencializar el talento humano, implementado.</t>
  </si>
  <si>
    <t>Centros Cívicos por la paz, construidos.</t>
  </si>
  <si>
    <t>Porcentaje de Centros Cívicos por la paz, construidos, con respecto al total programados.</t>
  </si>
  <si>
    <t>UEP 800</t>
  </si>
  <si>
    <t>Personas satisfechas con los productos generados en el modelo gestión orientado a potencializar el talento humano.</t>
  </si>
  <si>
    <t>Plataforma de Sistemas de Información y Comunicación accesibles y coadyuva para la toma de decisiones.</t>
  </si>
  <si>
    <t xml:space="preserve">Indicador de Resultado </t>
  </si>
  <si>
    <t>Porcentaje de avance en la evaluación de impacto del Programa de  los Centros Cívicos por la paz, con respecto a las etapas establecidas.</t>
  </si>
  <si>
    <t xml:space="preserve">Comisión de Evaluación </t>
  </si>
  <si>
    <r>
      <t>a.</t>
    </r>
    <r>
      <rPr>
        <b/>
        <sz val="7"/>
        <color rgb="FF000000"/>
        <rFont val="Times New Roman"/>
        <family val="1"/>
      </rPr>
      <t xml:space="preserve">    </t>
    </r>
    <r>
      <rPr>
        <sz val="11"/>
        <color rgb="FF000000"/>
        <rFont val="Tahoma"/>
        <family val="2"/>
      </rPr>
      <t xml:space="preserve">Riesgo Natural </t>
    </r>
  </si>
  <si>
    <r>
      <t>b.</t>
    </r>
    <r>
      <rPr>
        <b/>
        <sz val="7"/>
        <color rgb="FF000000"/>
        <rFont val="Times New Roman"/>
        <family val="1"/>
      </rPr>
      <t xml:space="preserve">    </t>
    </r>
    <r>
      <rPr>
        <sz val="11"/>
        <color rgb="FF000000"/>
        <rFont val="Tahoma"/>
        <family val="2"/>
      </rPr>
      <t xml:space="preserve">Riesgo Socio-Natural </t>
    </r>
  </si>
  <si>
    <r>
      <t>c.</t>
    </r>
    <r>
      <rPr>
        <b/>
        <sz val="7"/>
        <color rgb="FF000000"/>
        <rFont val="Times New Roman"/>
        <family val="1"/>
      </rPr>
      <t xml:space="preserve">     </t>
    </r>
    <r>
      <rPr>
        <sz val="11"/>
        <color rgb="FF000000"/>
        <rFont val="Tahoma"/>
        <family val="2"/>
      </rPr>
      <t xml:space="preserve">Riesgo Socio - Cultural </t>
    </r>
  </si>
  <si>
    <r>
      <t>d.</t>
    </r>
    <r>
      <rPr>
        <b/>
        <sz val="7"/>
        <color rgb="FF000000"/>
        <rFont val="Times New Roman"/>
        <family val="1"/>
      </rPr>
      <t xml:space="preserve">    </t>
    </r>
    <r>
      <rPr>
        <sz val="11"/>
        <color rgb="FF000000"/>
        <rFont val="Tahoma"/>
        <family val="2"/>
      </rPr>
      <t xml:space="preserve">Riesgo Antropogénico </t>
    </r>
  </si>
  <si>
    <r>
      <t>e.</t>
    </r>
    <r>
      <rPr>
        <b/>
        <sz val="7"/>
        <color rgb="FF000000"/>
        <rFont val="Times New Roman"/>
        <family val="1"/>
      </rPr>
      <t xml:space="preserve">    </t>
    </r>
    <r>
      <rPr>
        <sz val="11"/>
        <color rgb="FF000000"/>
        <rFont val="Tahoma"/>
        <family val="2"/>
      </rPr>
      <t xml:space="preserve">Riesgo del ambiente laboral </t>
    </r>
  </si>
  <si>
    <r>
      <t>f.</t>
    </r>
    <r>
      <rPr>
        <b/>
        <sz val="7"/>
        <color rgb="FF000000"/>
        <rFont val="Times New Roman"/>
        <family val="1"/>
      </rPr>
      <t xml:space="preserve">      </t>
    </r>
    <r>
      <rPr>
        <sz val="11"/>
        <color rgb="FF000000"/>
        <rFont val="Tahoma"/>
        <family val="2"/>
      </rPr>
      <t xml:space="preserve">Riesgo de material y suministro </t>
    </r>
  </si>
  <si>
    <r>
      <t>g.</t>
    </r>
    <r>
      <rPr>
        <b/>
        <sz val="7"/>
        <color rgb="FF000000"/>
        <rFont val="Times New Roman"/>
        <family val="1"/>
      </rPr>
      <t xml:space="preserve">    </t>
    </r>
    <r>
      <rPr>
        <sz val="11"/>
        <color rgb="FF000000"/>
        <rFont val="Tahoma"/>
        <family val="2"/>
      </rPr>
      <t xml:space="preserve">Riesgo normativo </t>
    </r>
  </si>
  <si>
    <r>
      <t>h.</t>
    </r>
    <r>
      <rPr>
        <b/>
        <sz val="7"/>
        <color rgb="FF000000"/>
        <rFont val="Times New Roman"/>
        <family val="1"/>
      </rPr>
      <t xml:space="preserve">    </t>
    </r>
    <r>
      <rPr>
        <sz val="11"/>
        <color rgb="FF000000"/>
        <rFont val="Tahoma"/>
        <family val="2"/>
      </rPr>
      <t xml:space="preserve">Riesgo de maquinaria y equipo </t>
    </r>
  </si>
  <si>
    <r>
      <t>i.</t>
    </r>
    <r>
      <rPr>
        <b/>
        <sz val="7"/>
        <color rgb="FF000000"/>
        <rFont val="Times New Roman"/>
        <family val="1"/>
      </rPr>
      <t xml:space="preserve">      </t>
    </r>
    <r>
      <rPr>
        <sz val="11"/>
        <color rgb="FF000000"/>
        <rFont val="Tahoma"/>
        <family val="2"/>
      </rPr>
      <t xml:space="preserve">Riesgo de Infraestructura </t>
    </r>
  </si>
  <si>
    <r>
      <t>j.</t>
    </r>
    <r>
      <rPr>
        <b/>
        <sz val="7"/>
        <color rgb="FF000000"/>
        <rFont val="Times New Roman"/>
        <family val="1"/>
      </rPr>
      <t xml:space="preserve">      </t>
    </r>
    <r>
      <rPr>
        <sz val="11"/>
        <color rgb="FF000000"/>
        <rFont val="Tahoma"/>
        <family val="2"/>
      </rPr>
      <t xml:space="preserve">Riesgos de Tecnologías de la Información y la Comunicación </t>
    </r>
  </si>
  <si>
    <r>
      <t>k.</t>
    </r>
    <r>
      <rPr>
        <b/>
        <sz val="7"/>
        <color rgb="FF000000"/>
        <rFont val="Times New Roman"/>
        <family val="1"/>
      </rPr>
      <t xml:space="preserve">    </t>
    </r>
    <r>
      <rPr>
        <sz val="11"/>
        <color rgb="FF000000"/>
        <rFont val="Tahoma"/>
        <family val="2"/>
      </rPr>
      <t xml:space="preserve">Riesgo Humano </t>
    </r>
  </si>
  <si>
    <r>
      <t>l.</t>
    </r>
    <r>
      <rPr>
        <b/>
        <sz val="7"/>
        <color rgb="FF000000"/>
        <rFont val="Times New Roman"/>
        <family val="1"/>
      </rPr>
      <t xml:space="preserve">      </t>
    </r>
    <r>
      <rPr>
        <sz val="11"/>
        <color rgb="FF000000"/>
        <rFont val="Tahoma"/>
        <family val="2"/>
      </rPr>
      <t>Riesgo de Financiero</t>
    </r>
  </si>
  <si>
    <r>
      <t>m.</t>
    </r>
    <r>
      <rPr>
        <b/>
        <sz val="7"/>
        <color rgb="FF000000"/>
        <rFont val="Times New Roman"/>
        <family val="1"/>
      </rPr>
      <t xml:space="preserve">  </t>
    </r>
    <r>
      <rPr>
        <sz val="11"/>
        <color rgb="FF000000"/>
        <rFont val="Tahoma"/>
        <family val="2"/>
      </rPr>
      <t xml:space="preserve">Riesgo de Seguridad </t>
    </r>
  </si>
  <si>
    <t>Observaciones</t>
  </si>
  <si>
    <t>l.      Riesgo de Financiero</t>
  </si>
  <si>
    <t>Riesgo 1</t>
  </si>
  <si>
    <t>Riesgo 2</t>
  </si>
  <si>
    <t>Riesgo 3</t>
  </si>
  <si>
    <t xml:space="preserve">k.    Riesgo Humano </t>
  </si>
  <si>
    <t xml:space="preserve">j.      Riesgos de Tecnologías de la Información y la Comunicación </t>
  </si>
  <si>
    <t xml:space="preserve">f.      Riesgo de material y suministro </t>
  </si>
  <si>
    <t xml:space="preserve">Programa de Gestión Ambiental Institucional  implementado. </t>
  </si>
  <si>
    <t xml:space="preserve">Coordinar la disponibilidad del recurso Humano y financiero en los proceso de programación presupuestario. </t>
  </si>
  <si>
    <t>Porcentaje de avance de la implementación del Plan de Acción del Programa de Gestión Ambiental Institucional, con respecto al total de acciones.</t>
  </si>
  <si>
    <t>Total de Planes evaluados/Total de planes ejecutados*100</t>
  </si>
  <si>
    <t>Gestión Institucional eficiente y eficaz.</t>
  </si>
  <si>
    <t>Total de Unidades Organizacionales que operan los sistemas de información y comunicación/ Total de Unidades Organizacionales*100</t>
  </si>
  <si>
    <t>Cantidad  de acciones de prevención y promoción de la paz social, realizadas.</t>
  </si>
  <si>
    <t xml:space="preserve">Evaluación de impacto de los Centros Cívicos por la Paz. 
Se requiere de recursos humanos, tecnológicos, materiales, mobiliario y equipos entre otros. 
La evaluación se realizará después de cinco años de operación de los Centros.  
Etapas:
I. Preparación de la evaluación (35%)
II. Diseño de la evaluación (20%).
III. Ejecución de la evaluación (35%). 
IV. Aplicación de los resultados de la evaluación (10%)                     
</t>
  </si>
  <si>
    <t>Equipo Diseño de Evaluación</t>
  </si>
  <si>
    <t>Profesional de Planificación</t>
  </si>
  <si>
    <t xml:space="preserve">Profesional de Financiero </t>
  </si>
  <si>
    <t>Profesional DIGEPAZ</t>
  </si>
  <si>
    <t>Profesional de la Alta Jerarquía</t>
  </si>
  <si>
    <t>Equipo Evaluador</t>
  </si>
  <si>
    <t>Interno</t>
  </si>
  <si>
    <t>Externo</t>
  </si>
  <si>
    <t>Mixto</t>
  </si>
  <si>
    <t>Equipos</t>
  </si>
  <si>
    <t>Horas personas</t>
  </si>
  <si>
    <t>Electricidad</t>
  </si>
  <si>
    <t xml:space="preserve">Costos </t>
  </si>
  <si>
    <t>Tecnología</t>
  </si>
  <si>
    <t>Viáticos</t>
  </si>
  <si>
    <t>Alojamiento</t>
  </si>
  <si>
    <t>Transporte</t>
  </si>
  <si>
    <t>Chofer</t>
  </si>
  <si>
    <t>Suministros</t>
  </si>
  <si>
    <t>Total</t>
  </si>
  <si>
    <t>Salario Promedio 2021</t>
  </si>
  <si>
    <t>Alquiler de equipo de computo</t>
  </si>
  <si>
    <t>$</t>
  </si>
  <si>
    <t>Tipo cambio 05/10/2021</t>
  </si>
  <si>
    <t>Por día</t>
  </si>
  <si>
    <t>Por Hora</t>
  </si>
  <si>
    <t>Anual</t>
  </si>
  <si>
    <t>Mensual</t>
  </si>
  <si>
    <t>Por hora</t>
  </si>
  <si>
    <t>Telecomunicaciones</t>
  </si>
  <si>
    <t>Agua</t>
  </si>
  <si>
    <t>Mes</t>
  </si>
  <si>
    <t>Equipo Evaluador Interno</t>
  </si>
  <si>
    <t>Centro Cívico  (5)</t>
  </si>
  <si>
    <t xml:space="preserve">Gestión de Recursos Humanos Institucional . Departamento de Salud Ocupacional.
Escuela de Capacitación
</t>
  </si>
  <si>
    <t xml:space="preserve">Porcentaje de productos del modelo de gestión institucional elaborados, con respecto al total programado. </t>
  </si>
  <si>
    <t>Estimación Presupuestaria
(millones de colones)</t>
  </si>
  <si>
    <t>La estimación presupuestaria corresponde a ₡350,00 millones de colones para el diseño, ejecución de la evaluación (recursos humanos, servicios, viáticos, alojamiento) y otros ₡350,00 millones de colones para ejecutar la aplicación de los resultados de las evaluaciones.</t>
  </si>
  <si>
    <t>Secretaría de Planificación Sectorial e Institucional.</t>
  </si>
  <si>
    <t>Estimación Presupuestaría</t>
  </si>
  <si>
    <t>Total de Funcionarios</t>
  </si>
  <si>
    <t>Promedio</t>
  </si>
  <si>
    <t>RH</t>
  </si>
  <si>
    <t>Salud Ocuapacional</t>
  </si>
  <si>
    <t>d) Días laborales por año: 219</t>
  </si>
  <si>
    <t>e) Días laborales por mes: 18,25</t>
  </si>
  <si>
    <t>f) Días laborales tomados del "INFORME: ADE - UNIDE - 09 - 2016: Guía para la realización de Estudios de Cargas de Trabajo en las Instituciones cubiertas por el Régimen del Servicio Civil.</t>
  </si>
  <si>
    <t>Salario x hora</t>
  </si>
  <si>
    <t xml:space="preserve">Salario </t>
  </si>
  <si>
    <t>Horas x persona</t>
  </si>
  <si>
    <t>Cantida de personas</t>
  </si>
  <si>
    <t>Cantidad de Sesiones anual</t>
  </si>
  <si>
    <t>Dirección General de Adaptación Social</t>
  </si>
  <si>
    <t xml:space="preserve">Unidad de Género </t>
  </si>
  <si>
    <t>Comisión de Gestión Ambiental</t>
  </si>
  <si>
    <t>Cantidad planes de acción de las Políticas, evaluados.</t>
  </si>
  <si>
    <t>Comisión de Ética y Valores</t>
  </si>
  <si>
    <t>Cantidad de Sesiones Mensuales</t>
  </si>
  <si>
    <t>Horas x persona mensual</t>
  </si>
  <si>
    <t>Total de horas anuales</t>
  </si>
  <si>
    <t>Total de horas x personas anuales</t>
  </si>
  <si>
    <t>Total de horas x personas mensuales</t>
  </si>
  <si>
    <t>Monto</t>
  </si>
  <si>
    <t>Comisión de Ética</t>
  </si>
  <si>
    <t>Comisión de Discapacidad</t>
  </si>
  <si>
    <t>Manual del Sistema Integral de Gestión Institucional,  implementado.</t>
  </si>
  <si>
    <t xml:space="preserve">30%
</t>
  </si>
  <si>
    <t>Manual del Sistema Integral de Gestión Institucional</t>
  </si>
  <si>
    <t>Total de horas  mensuales</t>
  </si>
  <si>
    <t xml:space="preserve">Línea de Acción </t>
  </si>
  <si>
    <t>Línea Base</t>
  </si>
  <si>
    <t xml:space="preserve">Plan de acción de la Política para la Igualdad de Género y No Discriminación, implementado . </t>
  </si>
  <si>
    <t>Porcentaje de avance en la elaboración de la Política y el Plan de Discapacidad del Ministerio de justicia y Paz, con respecto a las etapas establecidas.</t>
  </si>
  <si>
    <t>Comisión de Discapacidad y Discapacidad</t>
  </si>
  <si>
    <t xml:space="preserve">Cantidad de nivel de madurez alcanzados
Dimensiones:
Estrategia y  estructura (81) Procesos e información (20) Liderazgo y cultura (26) Competencia y equipos (29)
Total=156 
</t>
  </si>
  <si>
    <t>Secretaría de Planificación Sectorial e Institucional (coordinación del proceso)
Unidades Administrativas del MJP (responsables de los procesos estratégicos, sustantivos y apoyo)</t>
  </si>
  <si>
    <t xml:space="preserve">Dirección General de Adaptación Social </t>
  </si>
  <si>
    <t>Acciones de prevención y promoción de la paz dirigidos a las comunidades más vulnerables del país, ejecutadas.</t>
  </si>
  <si>
    <t xml:space="preserve">Prever en los procesos de presupuestación  la asignación recursos materiales tecnológicos, humanos  </t>
  </si>
  <si>
    <t>Aprehensiones juveniles en los territorios beneficiados, disminuidos.</t>
  </si>
  <si>
    <t>Tasa de aprehensiones juveniles en los territorios beneficiados disminuidos.</t>
  </si>
  <si>
    <t xml:space="preserve">Total de aprehensiones juveniles en los territorios beneficiados disminuidos/ Total de población juvenil de los territorios beneficiados*100
</t>
  </si>
  <si>
    <t>Exclusión estudiantil en los territorios beneficiados, disminuidos.</t>
  </si>
  <si>
    <t>Tasa de exclusión estudiantil en los territorios beneficiados disminuidos.</t>
  </si>
  <si>
    <t>Número de estudiantil  excluidos del sistema educativo / total de población estudiantil en los territorios beneficiados con CCP.</t>
  </si>
  <si>
    <t>Total de Centros Cívicos por la Paz construidos /Total de Centros Cívicos por la Paz programados*100</t>
  </si>
  <si>
    <t>Construcción ocho Centro Cívicos en el Gran Área Metropolitana y Regiones (CRC 20.494,73 millones de colones, corresponde 97%) específicamente en:
Provincia San José, Cantón San José, Distrito de Pavas.
Provincia San José, Cantón Goicoechea, Distrito de Purral.
Provincia Alajuela, Cantón Distrito San José.
Regionales: 
Región Huetar Caribe, Provincia, Cantón, Distrito de Limón.
Región Chorotega, Provincia de Guanacaste, Cantón y Distrito de Liberia.
Región Pacífico Central, Provincia, Cantón de Puntarenas y Distrito del Roble.
Región Brunca, Provincia de Puntarenas, Cantón de Corredores y Distrito Corredores. Región Brunca, Provincia San José, Cantón Pérez Zeledón y en el Distrito de Daniel Flores.</t>
  </si>
  <si>
    <t>Total de acciones ejecutados/Total de acciones programadas del Plan*100</t>
  </si>
  <si>
    <t>Total de productos  del modelo de gestión elaborados/Total de productos programados * 100</t>
  </si>
  <si>
    <t xml:space="preserve">Sumatoria de los pesos ponderados de cada una de las etapas a desarrollar /Sumatoria del total de los pesos de las etapas*100 </t>
  </si>
  <si>
    <t>Sumatoria de los pesos ponderados de cada una de las etapas a desarrollar/Sumatoria del total de los pesos de las etapas*100</t>
  </si>
  <si>
    <t>Sumatoria de Sistemas de Información, implementados.</t>
  </si>
  <si>
    <t>Total de acciones ejecutados /Total de acciones programadas *100</t>
  </si>
  <si>
    <t>El porcentaje de la ejecución del Plan de Acción puede ser modificado cuando se oficialice dicho plan.</t>
  </si>
  <si>
    <t>Metas</t>
  </si>
  <si>
    <t>Estas acciones se establecen en los instrumentos de Planificación institucional POI Y PGI.
La estimación presupuestaría corresponde a DIGEPAZ.</t>
  </si>
  <si>
    <t>Cantidad de modelos de atención  evaluados, con respecto al total programados.</t>
  </si>
  <si>
    <t>Sumatoria de  Modelos de atención evaluados,</t>
  </si>
  <si>
    <t xml:space="preserve">g.    Riesgo normativo </t>
  </si>
  <si>
    <t>Índice de Gestión Institucional del Sistema Penitenciario Nacional implementado.</t>
  </si>
  <si>
    <t>Indice de gestión  Institucional del Sistema Penitenciario Nacional, implementado.</t>
  </si>
  <si>
    <t>Porcentaje de avance en la formulación del Índice de gestión Institucional del Sistema Penitenciario Nacional, con respecto a las etapas establecidas.</t>
  </si>
  <si>
    <t>Total de criterios cumplidos/Total de criteros evaluados*100</t>
  </si>
  <si>
    <t>La meta anual esta sujeta al levantamiento de la línea base. Y la formula del indicador esta sujeta a la definición del Índice.</t>
  </si>
  <si>
    <t>Porcentaje de personas satisfechas de los servicios brindados a los  usuarios del Sistema Penintenciario Nacional.</t>
  </si>
  <si>
    <t>Satisfacción de los usuarios de los servicios brindados por el  Sistema Penintenciario Nacional.</t>
  </si>
  <si>
    <t xml:space="preserve">Modelos de atención  evaluados. </t>
  </si>
  <si>
    <t>Cantidad de personas por nivel de  satisfacción de los servicios brindados/ Total de personas consultadas que reciben los servicios*100.</t>
  </si>
  <si>
    <t>Fortalecimiento de la Gestión de la Capacidad institucional orientada a resultados.</t>
  </si>
  <si>
    <t>Gestionar eficiente y eficazmente los recursos   de la institución para el cumplimiento de la misión institucional.</t>
  </si>
  <si>
    <t>Porcentaje de personas funcionarias satisfechas con los productos generados en el modelo gestión orientado a potencializar el talento humano.</t>
  </si>
  <si>
    <t>Cantidad de personas funcionarias satisfechas/Cantidad de personas funcionarias*100.</t>
  </si>
  <si>
    <t>Total de proyectos del Plan Único de Infraestructura ejecutados/Total de proyectos del Plan Único de Infraestructura*100.</t>
  </si>
  <si>
    <t>Sistema Penitenciario Nacional que cuente con infraestructura óptima para la prestación de servicio público.</t>
  </si>
  <si>
    <t>Suma de nivel de desempeño por edificación y factor  / Suma  de edificaciones evaluadas.</t>
  </si>
  <si>
    <t>Índice del nivel de desempeño de los factores que determinan el estado de la infraestructura penitenciaria.</t>
  </si>
  <si>
    <t>Corresponde a los proyectos del Plan Único de Infraestructura 2020 a ejecutar en el periodo del Plan Estratégico Institucional.</t>
  </si>
  <si>
    <t>Porcentaje de avance en la implementación del Plan de Discapacidad del Ministerio de Justicia y Paz, con respecto a total de acciones establecidas.</t>
  </si>
  <si>
    <t>Total de acciones ejecutados /Total de acciones programadas del *100.</t>
  </si>
  <si>
    <t>Sumatoria de los pesos ponderados de cada una de las etapas a desarrollar /Sumatoria del total de los pesos de las etapas*100.</t>
  </si>
  <si>
    <t>Total de Acciones Ejecutados/Total de acciones programadas del Plan*100.</t>
  </si>
  <si>
    <t>Etapas:
2022 I. Diseño: 50%
2023: II. Validación: 25%, III. Oficialización: 5%
2024: IV. Implementación: 20%</t>
  </si>
  <si>
    <t>Porcentaje de Unidades Organizacionales que operan los sistemas de información y comunicación implementados.</t>
  </si>
  <si>
    <t>Porcentaje de avance de la implementación del  Plan de acción de la Política para la Igualdad de Género y No Discriminación.</t>
  </si>
  <si>
    <t xml:space="preserve">El Programa de Gestión Ambiental se formaliza en agosto del 2019, y cuenta con un periodo de vigencia de 5 años del 2019 al 2023.
Las siguientes se constituyen en las temáticas a abordar a nivel institucional:
1 Gestión de residuos solidos peligrosos.
2 Gestión del suelo y residuos sólidos             
3 Gestión de  la energía                                
4 Gestión del Aire                                                                    
5 Gestión de los productos derivados de los hidrocarburos                                                    6 Gestión de emisiones de radiaciones ionizantes 
7Gestión de residuos infectocontagiosos:                                            
8 Gestión de Adquisiciones ambientales y responsables.                                                            9 Gestión de Reforestación y Conservación                                                           10 Gestión de Aguas residuales                                                                 
11 Gestión de plaguicidas                                     
12 Gestión del consumo de papel </t>
  </si>
  <si>
    <t xml:space="preserve">El Programa de Gestión Ambiental se formaliza en agosto del 2019, y cuenta con un periodo de vigencia de 5 años del 2019 al 2023.
Etapas :
Implementación: 50% 2022 y 50% 2023 No aplica en este indicador
Las siguientes se constituyen en las temáticas a abordar a nivel institucional:
1 Gestión de residuos solidos peligrosos.
2 Gestión del suelo y residuos sólidos             
3 Gestión de  la energía                                
4 Gestión del Aire                                                                    
5 Gestión de los productos derivados de los hidrocarburos.
6 Gestión de emisiones de radiaciones ionizantes 
7Gestión de residuos infectocontagiosos:                                            
8 Gestión de Adquisiciones ambientales y responsables.                                                            9 Gestión de Reforestación y Conservación                                                           10 Gestión de Aguas residuales                                                                 
11 Gestión de plaguicidas                                     
12 Gestión del consumo de papel </t>
  </si>
  <si>
    <t>El porcentaje de la ejecución del Plan de Acción puede ser modificado cuando se oficialice dicho documento.</t>
  </si>
  <si>
    <t>Etapas:
2022:
I. Diagnóstico (30%)
2023:
II. Elaboración (40%)
III. Validación (15%)
IV. Oficialización (5%)
V. Divulgación (10%)</t>
  </si>
  <si>
    <t>Operación de Centros Cívicos por la Paz.</t>
  </si>
  <si>
    <t>Fortalecieminto del Sistema Penintenciario Nacional.</t>
  </si>
  <si>
    <t>Ejecución de acciones de prevención del delito y la violencia.</t>
  </si>
  <si>
    <t>2023: 1
2024: 2
2025: 2
2026: 2</t>
  </si>
  <si>
    <t xml:space="preserve">2023: 50%
2024: 30%
2025: 20%
</t>
  </si>
  <si>
    <t>2026: 30%</t>
  </si>
  <si>
    <t>Total de criterios cumplidos/Total de criterios evaluados*100</t>
  </si>
  <si>
    <t>El Índice Institucional de la gestión del Sistema Penitenciario Nacional, será conformado con las diferentes dimensiones  establecidas en diseño, validación y oficialización.
Se toma como base el salario de un Profesional Jefe del Servicio Civil 1 (1.878.915/30/8*160=1.252.610) y Profesional 2 del Servicio Civil 1.347.077</t>
  </si>
  <si>
    <t>Realizar la inscripción de proyecto en el BPIP de MIDEPLAN con antelación a los procesos de programación presupuestaría.
Incluir la formulación de los proyectos en el Plan de Gestión Institucional un año antes de la programación del POI.</t>
  </si>
  <si>
    <t>El Plan Único de Infraestructura 2020-01 cuenta con 625 proyectos identificados al momento de su emisión y un plazo de ejecución es de 10 años. Al año 2021 se cuenta con 165 proyectos que han entrado a su fase de operación, lo cual representa un 26.4% de avance.</t>
  </si>
  <si>
    <t>Incorporar las acciones en el Plan de Gestión Institucional.</t>
  </si>
  <si>
    <t>El Plan de la Política para la Igualdad de Género y No Discriminación 2021-2025, la línea base es cero debido que hasta el 2021 se encuentra en proceso de ejecución.</t>
  </si>
  <si>
    <t>Incorporar la elaboración de la Política en el Plan de Gestión Institucional.</t>
  </si>
  <si>
    <t>Capacitar a los nuevos miembros que se vayan incorporando a la Comisión.</t>
  </si>
  <si>
    <t xml:space="preserve"> Riesgo Humano: 
Eventuales cambios de miembros en la Comisión  por decisiones políticas.    
Renuncia, cese o jubilación de funcionarios miembros capacitados con experiencia y manejo en el tema. 
Por decisiones políticas se trasladen funcionarios miembros a otras áreas en perjuicio de la Comisión.
Cambio de prioridades de las  autoridades ministeriales del periodo administrativo 2022-2026. 
 </t>
  </si>
  <si>
    <t>Ejes</t>
  </si>
  <si>
    <t>Ministerio de Justicia y Paz</t>
  </si>
  <si>
    <t>Eje Estratégico:</t>
  </si>
  <si>
    <t>Plan Estratégico Institucional</t>
  </si>
  <si>
    <r>
      <rPr>
        <b/>
        <sz val="9"/>
        <color theme="1"/>
        <rFont val="Tahoma"/>
        <family val="2"/>
      </rPr>
      <t>Fuente:</t>
    </r>
    <r>
      <rPr>
        <sz val="9"/>
        <color theme="1"/>
        <rFont val="Tahoma"/>
        <family val="2"/>
      </rPr>
      <t xml:space="preserve"> Elaboración propia.</t>
    </r>
  </si>
  <si>
    <t>Periodo 2022-2026</t>
  </si>
  <si>
    <t>1. Fortalecimiento del Sistema Nacional de Prevención de la Violencia y Promoción de la Paz.</t>
  </si>
  <si>
    <t>2. Fortalecimiento del Sistema Penitenciario Nacional, con enfoque de los derechos humanos.</t>
  </si>
  <si>
    <t>Fortalecimiento de la Gestión de la Capacidad Institucional orientada a resultados.</t>
  </si>
  <si>
    <t>3. Fortalecimiento de la Gestión de la Capacidad Institucional orientada a resultados.</t>
  </si>
  <si>
    <t xml:space="preserve">Estimación Presupuestaría (millones de colones) </t>
  </si>
  <si>
    <r>
      <rPr>
        <b/>
        <sz val="14"/>
        <color theme="1"/>
        <rFont val="Tahoma"/>
        <family val="2"/>
      </rPr>
      <t xml:space="preserve">Riesgo Humano: </t>
    </r>
    <r>
      <rPr>
        <sz val="14"/>
        <color theme="1"/>
        <rFont val="Tahoma"/>
        <family val="2"/>
      </rPr>
      <t xml:space="preserve">Eventualmente poca claridad en los procesos a ejecutar. Podría suceder la falta de personal o el personal no cuente con las competencias necesarias para afrontar las exigencias de la Programa. Eventualmente podría darse sistemas internos desactualizados (información y tecnológicos ) para el desarrollo óptimo del Programa.
</t>
    </r>
    <r>
      <rPr>
        <b/>
        <sz val="14"/>
        <color theme="1"/>
        <rFont val="Tahoma"/>
        <family val="2"/>
      </rPr>
      <t xml:space="preserve">Riesgo Financiero: </t>
    </r>
    <r>
      <rPr>
        <sz val="14"/>
        <color theme="1"/>
        <rFont val="Tahoma"/>
        <family val="2"/>
      </rPr>
      <t>Eventualmente que el  ente prestatario no libere los fondos debido a incumplimiento de cláusulas al contra</t>
    </r>
  </si>
  <si>
    <r>
      <rPr>
        <b/>
        <sz val="14"/>
        <color theme="1"/>
        <rFont val="Tahoma"/>
        <family val="2"/>
      </rPr>
      <t xml:space="preserve">Riesgo Humano / Operativo: </t>
    </r>
    <r>
      <rPr>
        <sz val="14"/>
        <color theme="1"/>
        <rFont val="Tahoma"/>
        <family val="2"/>
      </rPr>
      <t xml:space="preserve">Podría ser que  el equipo no sea conformado según los requerimientos.                                                                                -Eventualmente no contar con recurso humano con las competencias necesarias. </t>
    </r>
    <r>
      <rPr>
        <b/>
        <sz val="14"/>
        <color theme="1"/>
        <rFont val="Tahoma"/>
        <family val="2"/>
      </rPr>
      <t>Riesgo Financiero:</t>
    </r>
    <r>
      <rPr>
        <sz val="14"/>
        <color theme="1"/>
        <rFont val="Tahoma"/>
        <family val="2"/>
      </rPr>
      <t xml:space="preserve">
-Eventualmente la no designación de recursos para el proceso de evaluación, por recortes de presupuesto. </t>
    </r>
  </si>
  <si>
    <r>
      <rPr>
        <sz val="14"/>
        <rFont val="Tahoma"/>
        <family val="2"/>
      </rPr>
      <t>Diseño e imple</t>
    </r>
    <r>
      <rPr>
        <sz val="14"/>
        <color theme="1"/>
        <rFont val="Tahoma"/>
        <family val="2"/>
      </rPr>
      <t>mentación de políticas, planes, programas, estrategias y manuales Institucionales, con enfoque de derechos humanos.</t>
    </r>
  </si>
  <si>
    <r>
      <t xml:space="preserve">El Plan de la Política para la Igualdad de Género y No Discriminación 2021-2025, se contabilizaran para este indicador las acciones a ejecutar del 2022-2025. 
2022 	26 
2023 	25
2024 	20
2025 	13
</t>
    </r>
    <r>
      <rPr>
        <b/>
        <sz val="14"/>
        <rFont val="Tahoma"/>
        <family val="2"/>
      </rPr>
      <t>Total 	84</t>
    </r>
    <r>
      <rPr>
        <sz val="14"/>
        <rFont val="Tahoma"/>
        <family val="2"/>
      </rPr>
      <t xml:space="preserve">
</t>
    </r>
  </si>
  <si>
    <r>
      <t xml:space="preserve">El Programa de Gestión Ambiental Institucional 2019-2023, se contabilizaran para este indicador las acciones a ejecutar del 2022-2023. 
2022 	14
2023 	13
</t>
    </r>
    <r>
      <rPr>
        <b/>
        <sz val="14"/>
        <rFont val="Tahoma"/>
        <family val="2"/>
      </rPr>
      <t>Total 	27</t>
    </r>
    <r>
      <rPr>
        <sz val="14"/>
        <rFont val="Tahoma"/>
        <family val="2"/>
      </rPr>
      <t xml:space="preserve">
</t>
    </r>
  </si>
  <si>
    <t>Coordinar con las instancias correspondientes los requerimientos en materia de recursos humanos en los proceso de presupuestación y la asignación de recursos financieros.</t>
  </si>
  <si>
    <t>Coordinar con las instancias correspondientes los requerimientos en materia de recursos humanos,  presupuestación y formalización.</t>
  </si>
  <si>
    <t xml:space="preserve">Coordinar con las instancias correspondientes los requerimientos en materia de recursos humanos en los proceso de presupuestación. </t>
  </si>
  <si>
    <t>Índice de gestión  Institucional del Sistema Penitenciario Nacional, formulado e implementado.</t>
  </si>
  <si>
    <t xml:space="preserve">Política y Plan Discapacidad del Ministerio de Justicia y Paz, elaborada e implementada. </t>
  </si>
  <si>
    <t>Despacho de Gestión Estratégica
Proveeduría
Secretaría de Planificación Sectorial e Institucional
Financiero
Archivo Central
Dirección General de Adaptación Social
Recursos Humanos
Tecnología de la Información</t>
  </si>
  <si>
    <t xml:space="preserve">Implementación de Sistema de Documentación, Información  y Comunicación. </t>
  </si>
  <si>
    <t>Gestión de Sistemas de documentación, información y comunicación.</t>
  </si>
  <si>
    <t>Etapas:
2023: I. Diseño 50%
2024: II. Validación: 25% y III. Oficialización: 5%
2025: IV. Implementación: 20%</t>
  </si>
  <si>
    <t>Comisión Evaluadora.
(Secretaría de Planificación Sectorial e Institucional, Instituto Nacional de Criminología, Coordinaciones de Niveles de Atención, otras unidades atinentes).</t>
  </si>
  <si>
    <t xml:space="preserve">El Índice Institucional de la gestión del Sistema Penitenciario Nacional, es un instrumento que se formulara para evaluar los servicios que se le brinda a la población penitenciaría. 
En el Índice se incorporarían variables de: 
-Ocupación
-Laboral
-Formación y capacitación
-Técnica-profesional,
-Hacinamiento
-Valoraciones
-Técnicas
-Seguridad Penitenciaria
-Implementación de
modelos entre otros.
</t>
  </si>
  <si>
    <t>Instituto Nacional de Criminología.</t>
  </si>
  <si>
    <t>Política y Plan de Acción Ética y Valores, elaborada e implementada.</t>
  </si>
  <si>
    <t>DINARAC</t>
  </si>
  <si>
    <t>Realización de los procesos contables con base en las Normas Internacionales de Contabilidad del Sector Público (NICSP).</t>
  </si>
  <si>
    <t>Oficialía Mayor.
Comisión Institucional para Implementación de las NICSP.</t>
  </si>
  <si>
    <t>Cantidad de estados financieros emitidos conforme normativa internacional.</t>
  </si>
  <si>
    <t>Implementación de las NICSP</t>
  </si>
  <si>
    <t>Comisión</t>
  </si>
  <si>
    <t>Coordinar con las instancias correspondientes los requerimientos en materia de recursos humanos en los proceso de presupuestación y la asignación de recursos financiero, material y suministro.</t>
  </si>
  <si>
    <t>Cantidad de guías de atención profesional, rediseñadas o elaboradas.</t>
  </si>
  <si>
    <t>Sumatoria de guías de atención profesional rediseñadas o elaboradas.</t>
  </si>
  <si>
    <t>Las guías que se proponen rediseñar o desarrollar:
- Violencia intrafamiliar
- Violencia sexual.
- Atención drogodependencia.
- Debilidades para la vida.
- Otras.</t>
  </si>
  <si>
    <t xml:space="preserve">Guías de atención profesional, rediseñadas o elaboradas. </t>
  </si>
  <si>
    <t>INC</t>
  </si>
  <si>
    <t>Cantidad de horas  Mensuales</t>
  </si>
  <si>
    <t>Normas Internacionales de Contabilidad del Sector Público, implementadas.</t>
  </si>
  <si>
    <t>Garantizar el disfrute de los Derechos Humanos de la población adscrita al Sistema Penitenciario Costarricense, enfatizando en el desarrollo de la persona y la inserción social, en coordinación con las organizaciones gubernamentales y no gubernamentales involucradas.</t>
  </si>
  <si>
    <t>Promedio General Grado de Aplicación NICSP.</t>
  </si>
  <si>
    <t>Suma del grado de aplicación de las NICS aplicables/ Total de NICSP aplicables.</t>
  </si>
  <si>
    <t>Consultas a pueblos indígenas, realizadas.</t>
  </si>
  <si>
    <t>Incremento en el porcentaje de consultas a pueblos indígenas, realizadas.</t>
  </si>
  <si>
    <t>DINARAC/ Unidad Técnica de Consulta Indígena</t>
  </si>
  <si>
    <t>Procesos de consulta a los pueblos indígenas.</t>
  </si>
  <si>
    <t xml:space="preserve">Promover acciones de prevención integral de las diversas manifestaciones del delito y la violencia, aportando a una cultura de paz. </t>
  </si>
  <si>
    <r>
      <rPr>
        <b/>
        <sz val="14"/>
        <rFont val="Tahoma"/>
        <family val="2"/>
      </rPr>
      <t>Riesgo Humano / Operativo:</t>
    </r>
    <r>
      <rPr>
        <sz val="14"/>
        <rFont val="Tahoma"/>
        <family val="2"/>
      </rPr>
      <t xml:space="preserve">
-Podría ser que  el equipo no sea conformado según los requerimientos.                                                                                -Eventualmente no contar con recurso humano con las competencias necesarias. </t>
    </r>
    <r>
      <rPr>
        <b/>
        <sz val="14"/>
        <rFont val="Tahoma"/>
        <family val="2"/>
      </rPr>
      <t>Riesgo Financiero:</t>
    </r>
    <r>
      <rPr>
        <sz val="14"/>
        <rFont val="Tahoma"/>
        <family val="2"/>
      </rPr>
      <t xml:space="preserve">
-Eventualmente la no designación de recursos para el proceso de evaluación, por recortes de presupuesto. </t>
    </r>
  </si>
  <si>
    <t xml:space="preserve">Total de consultas a pueblos indígenas realizadas/Total de  solicitudes de inicio del proceso de consulta a pueblos indígenas recibidas.
</t>
  </si>
  <si>
    <t>Porcentaje de avance en el diseño de campaña de promoción de uso de métodos Resolución Alterna de Conflictos.</t>
  </si>
  <si>
    <r>
      <rPr>
        <b/>
        <sz val="14"/>
        <color theme="1"/>
        <rFont val="Tahoma"/>
        <family val="2"/>
      </rPr>
      <t>Etapas:</t>
    </r>
    <r>
      <rPr>
        <sz val="14"/>
        <color theme="1"/>
        <rFont val="Tahoma"/>
        <family val="2"/>
      </rPr>
      <t xml:space="preserve">
2022: 
I. Diagnóstico:40%
II. Diseño: 40%
III. Validación: 10%
IV. Oficialización: 10%
</t>
    </r>
  </si>
  <si>
    <t xml:space="preserve">c.     Riesgo Socio - Cultural </t>
  </si>
  <si>
    <t>Prever en los procesos de presupuestación  la asignación recursos materiales tecnológicos, humanos.</t>
  </si>
  <si>
    <t>33 Centros  Resolución Alterna de Conflictos y 15 Casas de Justicia, en total 48.
La campaña a implementar abarca los distritos de influencia de los Centros de Resolución Alterna de Conflictos y las Casas de Justicia.</t>
  </si>
  <si>
    <r>
      <rPr>
        <b/>
        <sz val="14"/>
        <color theme="1"/>
        <rFont val="Tahoma"/>
        <family val="2"/>
      </rPr>
      <t xml:space="preserve">Riesgo Humano / Operativo: </t>
    </r>
    <r>
      <rPr>
        <sz val="14"/>
        <color theme="1"/>
        <rFont val="Tahoma"/>
        <family val="2"/>
      </rPr>
      <t xml:space="preserve">Podría ser que  el equipo no sea conformado según los requerimientos.                                                                                -Eventualmente no contar con recurso humano con las competencias necesarias. 
</t>
    </r>
    <r>
      <rPr>
        <b/>
        <sz val="14"/>
        <color theme="1"/>
        <rFont val="Tahoma"/>
        <family val="2"/>
      </rPr>
      <t>Riesgo Financiero:</t>
    </r>
    <r>
      <rPr>
        <sz val="14"/>
        <color theme="1"/>
        <rFont val="Tahoma"/>
        <family val="2"/>
      </rPr>
      <t xml:space="preserve">
-Eventualmente la no designación de recursos para el proceso de evaluación, por recortes de presupuesto. </t>
    </r>
  </si>
  <si>
    <r>
      <rPr>
        <b/>
        <sz val="14"/>
        <color theme="1"/>
        <rFont val="Tahoma"/>
        <family val="2"/>
      </rPr>
      <t>Riesgo Financiero:</t>
    </r>
    <r>
      <rPr>
        <sz val="14"/>
        <color theme="1"/>
        <rFont val="Tahoma"/>
        <family val="2"/>
      </rPr>
      <t xml:space="preserve">
-Eventualmente la no designación de recursos para el proceso de evaluación, por recortes de presupuesto. </t>
    </r>
  </si>
  <si>
    <t>Fortalecer la consulta a los pueblos indígenas de forma libre, previa e informada, en protección de los derechos colectivos y culturales de esta población.</t>
  </si>
  <si>
    <t xml:space="preserve">Incluir en los mecanismos de selección de los canales de comunicación/ divulgación criterios de selección que faciliten la accesibilidad para la población de los distritos priorizados.
Apoyarse en ONG para el desarrollo de las campañas.
</t>
  </si>
  <si>
    <t>Procesos de Resolución Alterna de Conflictos y otros procesos de diálogo.</t>
  </si>
  <si>
    <t>Procesos de mediación de Resolución Alterna de Conflictos y otros procesos de diálogo, recibidos.</t>
  </si>
  <si>
    <t>Incremento del porcentaje de solicitudes de Resolución Alterna de Conflictos y otros diálogos, recibidos.</t>
  </si>
  <si>
    <r>
      <t>Total de solicitudes de Resolución Alterna de Conflictos recibidas en el año t</t>
    </r>
    <r>
      <rPr>
        <vertAlign val="subscript"/>
        <sz val="16"/>
        <rFont val="Tahoma"/>
        <family val="2"/>
      </rPr>
      <t xml:space="preserve">i </t>
    </r>
    <r>
      <rPr>
        <sz val="14"/>
        <color theme="1"/>
        <rFont val="Tahoma"/>
        <family val="2"/>
      </rPr>
      <t>/ Total de solicitudes de Resolución Alterna de Conflictos recibidas en el año t</t>
    </r>
    <r>
      <rPr>
        <vertAlign val="subscript"/>
        <sz val="16"/>
        <rFont val="Tahoma"/>
        <family val="2"/>
      </rPr>
      <t>0.</t>
    </r>
  </si>
  <si>
    <t>Campaña de promoción del Uso de los Mecanismos de Resolución Alterna de Conflictos, diseñada e implementada.</t>
  </si>
  <si>
    <t xml:space="preserve">Porcentaje de distritos en que se ha implementado la campaña de promoción de uso de mecanismos de Resolución Alterna de Conflictos.
</t>
  </si>
  <si>
    <t xml:space="preserve">Total de distritos en que se ha implementado la campaña de promoción de uso de mecanismos Resolución Alterna de Conflictos/ Total de distritos programados. </t>
  </si>
  <si>
    <t>Diseño de campaña para uso de mecanismos RAC</t>
  </si>
  <si>
    <t>Implementación de la campaña</t>
  </si>
  <si>
    <t xml:space="preserve"> 1 promotor social (2,5 mill/ mes), promoción en redes sociales, web, supervisión, viáticos, materiales)</t>
  </si>
  <si>
    <t xml:space="preserve">a.    Riesgo Natural </t>
  </si>
  <si>
    <t>Número de actividades de promoción y divulgación del Mecanismo de Consulta Indígena, realizadas.</t>
  </si>
  <si>
    <t>Procesos de capacitación sobre mecanismo de consulta indígena, realizados.</t>
  </si>
  <si>
    <t>Sumatoria de actividades de promoción y divulgación del Mecanismo de Consulta Indígena, realizadas.</t>
  </si>
  <si>
    <t>Modelos de atención penitenciaria.</t>
  </si>
  <si>
    <t>Porcentaje de personas satisfechas de los servicios brindados por el Sistema Penitenciario Nacional.</t>
  </si>
  <si>
    <t>Satisfacción de las personas usuarias de los servicios brindados por el  Sistema Penitenciario Nacional.</t>
  </si>
  <si>
    <t>Cantidad de Modelos de Atención  evaluados, con respecto al total programados.</t>
  </si>
  <si>
    <t xml:space="preserve">Modelos de Atención  evaluados. </t>
  </si>
  <si>
    <t>Sumatoria de  Modelos de Atención evaluados.</t>
  </si>
  <si>
    <t>Uso eficiente y eficaz de los recursos financiero, humanos y  materiales.</t>
  </si>
  <si>
    <t>Gestión institucional  transversalisadad en género y discapacidad y bajo un enfoque  de uso racional de los recursos.</t>
  </si>
  <si>
    <t>Centros Gestores del MJP</t>
  </si>
  <si>
    <t>Índice de Capacidad de Gestión Institucional.</t>
  </si>
  <si>
    <t>Implementación de las Normas Internacionales de Contabilidad del Sector Público (NICSP).</t>
  </si>
  <si>
    <t xml:space="preserve">Diseñar e implementar sistemas de documentación, información y comunicación ágiles y efectivos, que aporten a la gestión institucional mediante el uso de herramientas tecnológicas inclusivas, seguras, adaptadas al entorno actual.  </t>
  </si>
  <si>
    <t>Operacionalizar los Centros Cívicos por la Paz, con el fin de reducir los comportamientos delictivos de adolescentes y jóvenes vulnerables a la violencia, en distritos con desventajas concentradas.</t>
  </si>
  <si>
    <t>Mejorar la calidad de la información financiera del Ministerio de Justicia y Paz a efectos de darle una mayor transparencia a la gestión institucional.</t>
  </si>
  <si>
    <t>Prevención del delito, la violencia y  promoción de la paz social.</t>
  </si>
  <si>
    <t>Se utilizará herramientas de Autoevaluación de la aplicación de las NICPS proporcionado por el Ministerio de Hacienda,</t>
  </si>
  <si>
    <t>Emisión de Estados Financieros del Ministerio de Justicia y Paz conforme Normativa Internacional.</t>
  </si>
  <si>
    <t>Los modelos de atención se refieren a los procesos que realizan los diferentes niveles de atención del Sistema Penitenciario Nacional para el abordaje de la población a saber:
1.     Modelo de Atención Nivel Institucional.
2.     Modelo de Atención Nivel Semi Institucional.
3.     Modelo de Atención Nivel Comunidad.
4.     Modelo de Atención Nivel Penal Juvenil.
5.     Modelo de Atención Persona Adulto Mayor.
6.     Modelo de Atención Nivel Mujer.
7.     Modelo de Atención Inserción Social
8.     Modelo de Atención Centro Nacional de Atención Específica.
9.     Modelo de Atención Unidades de Atención Integral.
10. Modelo de Atención Programa de Mecanismos Electrónicos.</t>
  </si>
  <si>
    <t xml:space="preserve">Sistema: 
2.1 Software para la operación del Sistema Integral de Gestión Institucional del Ministerio de Justicia y Paz. La estimación presupuestaria es de CRC 1.000,00 millones.
2.2 Sistema de Información IGNIS de las personas que se encuentran en el Sistema Penitenciario Nacional. La estimación presupuestaria es de CRC275,39.
2.3 Sistema de Gestión de Documentos Electrónicos de Archivos (SGDEA) en las oficinas y dependencias del Ministerio de Justicia y Paz, a nivel nacional. La estimación presupuestaria es de CRC 525,82.
2.4 Mejoramiento de la red tecnológica de cada centro Penitenciario, estimación presupuestaria es de CRC 500,00millones.
2.5 Mejoramiento continua de los Servicios de TI (Comunicación, Seguridad electrónica, licenciamiento de aplicaciones, desarrollo). La estimación presupuestaria es de CRC 1.000,00 millones por año.
2.6 Data Center en la nube. La estimación presupuestaria es de CRC1.200,00 millones por año.
2.7 Sistema de gestión presupuestaria.
Desarrollo interno:
Sistema de Bodegas.
Alineación al proyecto del MH de la gestión administrativa financiera de las NICPS.
Sistema del Proceso de  Reclutamiento y Selección Policial del MJP. 
SICE - Sistema de Control de Equipos.
SIRH-Módulo de Vacaciones pruebas, ajustes e implementación.
</t>
  </si>
  <si>
    <r>
      <t xml:space="preserve">Porcentaje de avance </t>
    </r>
    <r>
      <rPr>
        <sz val="14"/>
        <color theme="5" tint="-0.249977111117893"/>
        <rFont val="Tahoma"/>
        <family val="2"/>
      </rPr>
      <t xml:space="preserve">en la elaboración </t>
    </r>
    <r>
      <rPr>
        <sz val="14"/>
        <rFont val="Tahoma"/>
        <family val="2"/>
      </rPr>
      <t>del Manual del Sistema Integral de Gestión Institucional, con respecto a las etapas establecidas.</t>
    </r>
  </si>
  <si>
    <t xml:space="preserve">El modelo contempla:
1- Plan de Gestión de los Recursos Humanos. (2022)
2- Plan de Clima y Cultura Organizacional.(2022)
3-Programa Institucional de Capacitación (Desarrollo y Escuela de Capacitación).(2023)
4- Manual de Puestos. (2023)
5- Manual de Inducción para personas funcionarias de nuevo ingreso. (2024)
6- Estudios de Cargas laborales.(2024)
7- Plan de sucesión.(2025  )
8- Estrategia para el mejoramiento del ambiente laboral de la Institución.(2025) </t>
  </si>
  <si>
    <t>Porcentaje de avance en la implementación del Plan de Clima Organizacional del Ministerio de Justicia y Paz, con respecto a total de acciones establecidas.</t>
  </si>
  <si>
    <t>Porcentaje de población penitenciaria de la Unidad de Atención a personas sentenciadas sujetas a monitoreo con Dispositivos Electrónicos que es atendida individual   y en su entorno social externo respecto al total de personas adscritas a la Unidad.</t>
  </si>
  <si>
    <t>Total de la población penitenciaria de la Unidad de Atención a personas sentenciadas sujetas a monitoreo con Dispositivos Electrónicos que es atendida individual   y en su entorno social externo/ Total de personas adscritas a la Unidad *100</t>
  </si>
  <si>
    <t>Unidad de Atención a personas sujetas a monitoreo con Dispositivos Electrónicos</t>
  </si>
  <si>
    <t>Población penitenciaria de la Unidad de Atención a personas sentenciadas sujetas a monitoreo con Dispositivos Electrónicos, atendida individual   y en su entorno social externo.</t>
  </si>
  <si>
    <t>Población penitenciaria sujetas a dispositivos electrónicas, con supervisión y seguimiento.</t>
  </si>
  <si>
    <t>Revisar con relación a los nuevos indicadores</t>
  </si>
  <si>
    <t>Plan de Clima Organizacional del Ministerio de Justicia y Paz, ejecutado.</t>
  </si>
  <si>
    <t xml:space="preserve">Coordinar con las instancias correspondientes los requerimientos en materia de recursos humanos en los proceso de presupuestación y la asignación de recursos financieros. Maximización de recursos y estrategias de atención por otras vías .Controles cruzados con la empresa proveedora de la solución tecnológica </t>
  </si>
  <si>
    <t xml:space="preserve">Coordinar con las instancias correspondientes los requerimientos en materia de recursos humanos en los proceso de presupuestación y la asignación de recursos financieros. Maximización de recursos y estrategias de atención por otras vías.Controles cruzados con la empresa proveedora de la solución tecnológica  </t>
  </si>
  <si>
    <r>
      <t>Las personas sentenciadas sujetas a monitoreo con Dispositivos Electrónicos a agosto del 2022 es de 1.131</t>
    </r>
    <r>
      <rPr>
        <sz val="14"/>
        <color theme="5" tint="-0.499984740745262"/>
        <rFont val="Tahoma"/>
        <family val="2"/>
      </rPr>
      <t xml:space="preserve">, </t>
    </r>
    <r>
      <rPr>
        <sz val="14"/>
        <rFont val="Tahoma"/>
        <family val="2"/>
      </rPr>
      <t>de las cuales van ser</t>
    </r>
    <r>
      <rPr>
        <sz val="14"/>
        <color rgb="FF000000"/>
        <rFont val="Tahoma"/>
        <family val="2"/>
      </rPr>
      <t xml:space="preserve"> atendidas individual y en su entorno social externo aproximadamente 791 persona sentenciadas.
En cuanto al presupuesto estimado por año es de ₡1.857,67, al final de los cinco años se estima un total del ₡9.288,35 millones.</t>
    </r>
  </si>
  <si>
    <t>ND</t>
  </si>
  <si>
    <r>
      <t>Promedio mensual de población penitenciaria de la Unidad de Atención a personas sujetas a monitoreo con Dispositivos Electrónicos, en seguimiento de forma individual y en su entorno social, por parte la policía penitenciaria, en el año t</t>
    </r>
    <r>
      <rPr>
        <sz val="7"/>
        <color theme="1"/>
        <rFont val="Arial"/>
        <family val="2"/>
      </rPr>
      <t xml:space="preserve"> </t>
    </r>
  </si>
  <si>
    <r>
      <t xml:space="preserve">La Unidad de Atención de personas sujetas a Dispositivos Electrónicos, a junio 2022 cuenta con una población de 1773 personas  (agosto 2022), Con respecto a la metas proyectadas se aclara , que de acuerdo a los resultados obtenidos en el 2022, están podrían ser ajustadas. 
En cuanto al presupuesto estimado por año es de </t>
    </r>
    <r>
      <rPr>
        <sz val="14"/>
        <rFont val="Tahoma"/>
        <family val="2"/>
      </rPr>
      <t>₡6,617,62</t>
    </r>
    <r>
      <rPr>
        <sz val="14"/>
        <color rgb="FF000000"/>
        <rFont val="Tahoma"/>
        <family val="2"/>
      </rPr>
      <t>, al final de los cinco años se estimada un total del ₡</t>
    </r>
    <r>
      <rPr>
        <sz val="14"/>
        <rFont val="Tahoma"/>
        <family val="2"/>
      </rPr>
      <t xml:space="preserve">33.088,1 </t>
    </r>
    <r>
      <rPr>
        <sz val="14"/>
        <color rgb="FF000000"/>
        <rFont val="Tahoma"/>
        <family val="2"/>
      </rPr>
      <t>millones.</t>
    </r>
  </si>
  <si>
    <t xml:space="preserve">Total, de población de la Unidad de Atención a personas sujetas a monitoreo con Dispositivos Electrónicos en seguimiento de forma individual y en su entorno social, por parte la policía penitenciaria, en el año t./ Total meses del año t </t>
  </si>
  <si>
    <t>Salud Ocupacional</t>
  </si>
  <si>
    <t>Etapas:
2022:
I. Diagnóstico (20%)
2023: 
I. Diagnóstico (12.5%) 
II. Elaboración (12.5%) 
2024: 
I. Diagnóstico (12.5%) 
II. Elaboración (12.5%) 
III. Validación (15%) 
2025: 
IV. Oficialización (5%) 
V. Divulgación (10%) 
Las etapas de diagnóstico y elaboración son simultáneas.</t>
  </si>
  <si>
    <t>Porcentaje de avance en la elaboración del Plan de Acción para la implementación de la Política Axiológica del MJP.</t>
  </si>
  <si>
    <t>Porcentaje de avance en la elaboración de la Política Ética y Valores del Ministerio de Justicia y Paz, con respecto a las etapas establecidas.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</si>
</sst>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1" x14ac:knownFonts="1">
    <font>
      <sz val="12"/>
      <color theme="1"/>
      <name val="Calibri"/>
      <family val="2"/>
      <scheme val="minor"/>
    </font>
    <font>
      <sz val="11"/>
      <color theme="1"/>
      <name val="Calibri"/>
      <family val="2"/>
      <scheme val="minor"/>
    </font>
    <font>
      <b/>
      <sz val="12"/>
      <color theme="1"/>
      <name val="Calibri"/>
      <family val="2"/>
      <scheme val="minor"/>
    </font>
    <font>
      <sz val="11"/>
      <color theme="1"/>
      <name val="Tahoma"/>
      <family val="2"/>
    </font>
    <font>
      <sz val="12"/>
      <color theme="1"/>
      <name val="Calibri"/>
      <family val="2"/>
      <scheme val="minor"/>
    </font>
    <font>
      <sz val="12"/>
      <name val="Calibri"/>
      <family val="2"/>
      <scheme val="minor"/>
    </font>
    <font>
      <sz val="9"/>
      <color theme="1"/>
      <name val="Tahoma"/>
      <family val="2"/>
    </font>
    <font>
      <b/>
      <sz val="11"/>
      <color rgb="FF000000"/>
      <name val="Tahoma"/>
      <family val="2"/>
    </font>
    <font>
      <b/>
      <sz val="7"/>
      <color rgb="FF000000"/>
      <name val="Times New Roman"/>
      <family val="1"/>
    </font>
    <font>
      <sz val="11"/>
      <color rgb="FF000000"/>
      <name val="Tahoma"/>
      <family val="2"/>
    </font>
    <font>
      <b/>
      <sz val="9"/>
      <color theme="1"/>
      <name val="Tahoma"/>
      <family val="2"/>
    </font>
    <font>
      <b/>
      <sz val="9"/>
      <color theme="0"/>
      <name val="Tahoma"/>
      <family val="2"/>
    </font>
    <font>
      <sz val="11"/>
      <name val="Calibri"/>
      <family val="2"/>
      <scheme val="minor"/>
    </font>
    <font>
      <sz val="9"/>
      <name val="Tahoma"/>
      <family val="2"/>
    </font>
    <font>
      <sz val="12"/>
      <color theme="1"/>
      <name val="Tahoma"/>
      <family val="2"/>
    </font>
    <font>
      <b/>
      <sz val="7"/>
      <color theme="0"/>
      <name val="Tahoma"/>
      <family val="2"/>
    </font>
    <font>
      <sz val="7"/>
      <color theme="1"/>
      <name val="Tahoma"/>
      <family val="2"/>
    </font>
    <font>
      <sz val="9"/>
      <color theme="1"/>
      <name val="Calibri"/>
      <family val="2"/>
      <scheme val="minor"/>
    </font>
    <font>
      <b/>
      <sz val="14"/>
      <color theme="1"/>
      <name val="Tahoma"/>
      <family val="2"/>
    </font>
    <font>
      <b/>
      <sz val="11"/>
      <color theme="1"/>
      <name val="Tahoma"/>
      <family val="2"/>
    </font>
    <font>
      <sz val="16"/>
      <color theme="1"/>
      <name val="Tahoma"/>
      <family val="2"/>
    </font>
    <font>
      <b/>
      <sz val="12"/>
      <color theme="1"/>
      <name val="Tahoma"/>
      <family val="2"/>
    </font>
    <font>
      <b/>
      <sz val="16"/>
      <color theme="0"/>
      <name val="Tahoma"/>
      <family val="2"/>
    </font>
    <font>
      <b/>
      <sz val="16"/>
      <color theme="1"/>
      <name val="Tahoma"/>
      <family val="2"/>
    </font>
    <font>
      <sz val="14"/>
      <color theme="1"/>
      <name val="Tahoma"/>
      <family val="2"/>
    </font>
    <font>
      <sz val="14"/>
      <color rgb="FFFF0000"/>
      <name val="Tahoma"/>
      <family val="2"/>
    </font>
    <font>
      <sz val="14"/>
      <name val="Tahoma"/>
      <family val="2"/>
    </font>
    <font>
      <sz val="14"/>
      <color theme="1"/>
      <name val="Calibri"/>
      <family val="2"/>
      <scheme val="minor"/>
    </font>
    <font>
      <sz val="14"/>
      <color rgb="FF000000"/>
      <name val="Tahoma"/>
      <family val="2"/>
    </font>
    <font>
      <sz val="14"/>
      <color theme="5" tint="-0.499984740745262"/>
      <name val="Tahoma"/>
      <family val="2"/>
    </font>
    <font>
      <b/>
      <sz val="14"/>
      <name val="Tahoma"/>
      <family val="2"/>
    </font>
    <font>
      <sz val="16"/>
      <color theme="1"/>
      <name val="Calibri"/>
      <family val="2"/>
      <scheme val="minor"/>
    </font>
    <font>
      <b/>
      <sz val="14"/>
      <color theme="0"/>
      <name val="Tahoma"/>
      <family val="2"/>
    </font>
    <font>
      <vertAlign val="subscript"/>
      <sz val="16"/>
      <name val="Tahoma"/>
      <family val="2"/>
    </font>
    <font>
      <sz val="14"/>
      <color theme="5" tint="-0.249977111117893"/>
      <name val="Tahoma"/>
      <family val="2"/>
    </font>
    <font>
      <sz val="12"/>
      <color theme="5" tint="-0.249977111117893"/>
      <name val="Calibri"/>
      <family val="2"/>
      <scheme val="minor"/>
    </font>
    <font>
      <sz val="11"/>
      <color theme="5" tint="-0.249977111117893"/>
      <name val="Calibri"/>
      <family val="2"/>
      <scheme val="minor"/>
    </font>
    <font>
      <sz val="12"/>
      <name val="Tahoma"/>
      <family val="2"/>
    </font>
    <font>
      <sz val="7"/>
      <color theme="1"/>
      <name val="Arial"/>
      <family val="2"/>
    </font>
    <font>
      <sz val="14"/>
      <name val="Calibri"/>
      <family val="2"/>
      <scheme val="minor"/>
    </font>
    <font>
      <sz val="14"/>
      <color theme="5"/>
      <name val="Tahoma"/>
      <family val="2"/>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5" tint="-0.24997711111789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style="thick">
        <color theme="0"/>
      </right>
      <top/>
      <bottom style="thick">
        <color theme="0"/>
      </bottom>
      <diagonal/>
    </border>
    <border>
      <left style="thick">
        <color theme="0"/>
      </left>
      <right/>
      <top/>
      <bottom style="thick">
        <color theme="0"/>
      </bottom>
      <diagonal/>
    </border>
    <border>
      <left style="thick">
        <color theme="0"/>
      </left>
      <right style="thick">
        <color theme="0"/>
      </right>
      <top style="medium">
        <color theme="0"/>
      </top>
      <bottom style="thick">
        <color theme="0"/>
      </bottom>
      <diagonal/>
    </border>
    <border>
      <left style="thick">
        <color theme="0"/>
      </left>
      <right style="thick">
        <color theme="0"/>
      </right>
      <top style="thick">
        <color theme="0"/>
      </top>
      <bottom style="medium">
        <color theme="0"/>
      </bottom>
      <diagonal/>
    </border>
    <border>
      <left style="medium">
        <color theme="0"/>
      </left>
      <right style="medium">
        <color theme="0"/>
      </right>
      <top style="medium">
        <color theme="0"/>
      </top>
      <bottom style="medium">
        <color theme="0"/>
      </bottom>
      <diagonal/>
    </border>
    <border>
      <left style="thin">
        <color theme="1"/>
      </left>
      <right style="thin">
        <color theme="1"/>
      </right>
      <top style="thin">
        <color theme="1"/>
      </top>
      <bottom style="thin">
        <color theme="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style="thick">
        <color theme="0"/>
      </left>
      <right/>
      <top/>
      <bottom/>
      <diagonal/>
    </border>
    <border>
      <left style="thick">
        <color theme="0"/>
      </left>
      <right/>
      <top/>
      <bottom style="medium">
        <color theme="0"/>
      </bottom>
      <diagonal/>
    </border>
    <border>
      <left/>
      <right/>
      <top/>
      <bottom style="medium">
        <color theme="0"/>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thin">
        <color theme="0"/>
      </bottom>
      <diagonal/>
    </border>
    <border>
      <left style="thin">
        <color theme="0"/>
      </left>
      <right style="thin">
        <color theme="0"/>
      </right>
      <top style="medium">
        <color theme="0"/>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theme="0"/>
      </left>
      <right/>
      <top style="medium">
        <color theme="0"/>
      </top>
      <bottom style="thin">
        <color auto="1"/>
      </bottom>
      <diagonal/>
    </border>
    <border>
      <left style="medium">
        <color theme="0"/>
      </left>
      <right/>
      <top style="thin">
        <color auto="1"/>
      </top>
      <bottom style="medium">
        <color theme="0"/>
      </bottom>
      <diagonal/>
    </border>
    <border>
      <left style="thick">
        <color theme="0"/>
      </left>
      <right/>
      <top style="thick">
        <color theme="0"/>
      </top>
      <bottom/>
      <diagonal/>
    </border>
    <border>
      <left style="thin">
        <color theme="1"/>
      </left>
      <right/>
      <top/>
      <bottom/>
      <diagonal/>
    </border>
    <border>
      <left style="thin">
        <color theme="1"/>
      </left>
      <right/>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4" tint="-0.499984740745262"/>
      </top>
      <bottom style="medium">
        <color theme="4" tint="-0.499984740745262"/>
      </bottom>
      <diagonal/>
    </border>
    <border>
      <left style="thin">
        <color theme="1"/>
      </left>
      <right style="thin">
        <color auto="1"/>
      </right>
      <top style="thin">
        <color auto="1"/>
      </top>
      <bottom/>
      <diagonal/>
    </border>
    <border>
      <left/>
      <right style="thick">
        <color theme="0"/>
      </right>
      <top/>
      <bottom/>
      <diagonal/>
    </border>
    <border>
      <left style="thick">
        <color theme="0"/>
      </left>
      <right style="thick">
        <color theme="0"/>
      </right>
      <top/>
      <bottom/>
      <diagonal/>
    </border>
  </borders>
  <cellStyleXfs count="2">
    <xf numFmtId="0" fontId="0" fillId="0" borderId="0"/>
    <xf numFmtId="9" fontId="4" fillId="0" borderId="0" applyFont="0" applyFill="0" applyBorder="0" applyAlignment="0" applyProtection="0"/>
  </cellStyleXfs>
  <cellXfs count="355">
    <xf numFmtId="0" fontId="0" fillId="0" borderId="0" xfId="0"/>
    <xf numFmtId="0" fontId="0" fillId="0" borderId="0" xfId="0" applyAlignment="1">
      <alignment vertical="center"/>
    </xf>
    <xf numFmtId="0" fontId="7" fillId="0" borderId="0" xfId="0" applyFont="1" applyAlignment="1">
      <alignment horizontal="left" vertical="center"/>
    </xf>
    <xf numFmtId="0" fontId="3" fillId="0" borderId="0" xfId="0" applyFont="1" applyAlignment="1">
      <alignment vertical="center"/>
    </xf>
    <xf numFmtId="0" fontId="1" fillId="2" borderId="0" xfId="0" applyFont="1" applyFill="1"/>
    <xf numFmtId="0" fontId="12" fillId="2" borderId="0" xfId="0" applyFont="1" applyFill="1"/>
    <xf numFmtId="0" fontId="0" fillId="0" borderId="0" xfId="0" applyAlignment="1">
      <alignment horizontal="center"/>
    </xf>
    <xf numFmtId="0" fontId="0" fillId="0" borderId="0" xfId="0" applyAlignment="1">
      <alignment horizontal="justify"/>
    </xf>
    <xf numFmtId="0" fontId="6" fillId="0" borderId="0" xfId="0" applyFont="1" applyBorder="1"/>
    <xf numFmtId="0" fontId="0" fillId="0" borderId="0" xfId="0" applyBorder="1"/>
    <xf numFmtId="0" fontId="0" fillId="6" borderId="1" xfId="0" applyFill="1" applyBorder="1" applyAlignment="1">
      <alignment wrapText="1"/>
    </xf>
    <xf numFmtId="164" fontId="0" fillId="6" borderId="1" xfId="0" applyNumberFormat="1" applyFill="1" applyBorder="1" applyAlignment="1">
      <alignment wrapText="1"/>
    </xf>
    <xf numFmtId="0" fontId="0" fillId="2" borderId="0" xfId="0" applyFill="1" applyBorder="1"/>
    <xf numFmtId="0" fontId="0" fillId="2" borderId="0" xfId="0" applyFill="1" applyBorder="1" applyAlignment="1">
      <alignment horizontal="center" wrapText="1"/>
    </xf>
    <xf numFmtId="0" fontId="0" fillId="2" borderId="0" xfId="0" applyFill="1" applyBorder="1" applyAlignment="1">
      <alignment vertical="top"/>
    </xf>
    <xf numFmtId="0" fontId="0" fillId="2" borderId="0" xfId="0" applyFill="1" applyBorder="1" applyAlignment="1">
      <alignment horizontal="center" vertical="top"/>
    </xf>
    <xf numFmtId="164" fontId="0" fillId="2" borderId="0" xfId="0" applyNumberFormat="1" applyFill="1" applyBorder="1"/>
    <xf numFmtId="0" fontId="0" fillId="9" borderId="1" xfId="0" applyFill="1" applyBorder="1"/>
    <xf numFmtId="0" fontId="0" fillId="9" borderId="1" xfId="0" applyFill="1" applyBorder="1" applyAlignment="1">
      <alignment horizontal="center" wrapText="1"/>
    </xf>
    <xf numFmtId="0" fontId="0" fillId="9" borderId="1" xfId="0" applyFill="1" applyBorder="1" applyAlignment="1">
      <alignment wrapText="1"/>
    </xf>
    <xf numFmtId="164" fontId="0" fillId="9" borderId="1" xfId="0" applyNumberFormat="1" applyFill="1" applyBorder="1" applyAlignment="1">
      <alignment wrapText="1"/>
    </xf>
    <xf numFmtId="1" fontId="0" fillId="9" borderId="1" xfId="0" applyNumberFormat="1" applyFill="1" applyBorder="1" applyAlignment="1">
      <alignment wrapText="1"/>
    </xf>
    <xf numFmtId="0" fontId="0" fillId="4" borderId="1" xfId="0" applyFill="1" applyBorder="1" applyAlignment="1">
      <alignment vertical="center"/>
    </xf>
    <xf numFmtId="0" fontId="0" fillId="4" borderId="1" xfId="0" applyFill="1" applyBorder="1" applyAlignment="1">
      <alignment horizontal="center" vertical="center" wrapText="1"/>
    </xf>
    <xf numFmtId="0" fontId="0" fillId="4" borderId="1" xfId="0" applyFill="1" applyBorder="1" applyAlignment="1">
      <alignment wrapText="1"/>
    </xf>
    <xf numFmtId="2" fontId="0" fillId="4" borderId="1" xfId="0" applyNumberFormat="1" applyFill="1" applyBorder="1" applyAlignment="1">
      <alignment wrapText="1"/>
    </xf>
    <xf numFmtId="164" fontId="0" fillId="4" borderId="1" xfId="0" applyNumberFormat="1" applyFill="1" applyBorder="1" applyAlignment="1">
      <alignment wrapText="1"/>
    </xf>
    <xf numFmtId="0" fontId="0" fillId="4" borderId="1" xfId="0" applyFill="1" applyBorder="1"/>
    <xf numFmtId="0" fontId="0" fillId="6" borderId="1" xfId="0" applyFill="1" applyBorder="1" applyAlignment="1">
      <alignment vertical="center"/>
    </xf>
    <xf numFmtId="0" fontId="0" fillId="6" borderId="1" xfId="0" applyFill="1" applyBorder="1" applyAlignment="1">
      <alignment horizontal="center" vertical="center" wrapText="1"/>
    </xf>
    <xf numFmtId="0" fontId="0" fillId="6" borderId="1" xfId="0" applyFill="1" applyBorder="1"/>
    <xf numFmtId="0" fontId="2" fillId="6" borderId="1" xfId="0" applyFont="1" applyFill="1" applyBorder="1" applyAlignment="1">
      <alignment vertical="center" wrapText="1"/>
    </xf>
    <xf numFmtId="0" fontId="2" fillId="4" borderId="1" xfId="0" applyFont="1" applyFill="1" applyBorder="1" applyAlignment="1">
      <alignment vertical="center"/>
    </xf>
    <xf numFmtId="0" fontId="2" fillId="9" borderId="1" xfId="0" applyFont="1" applyFill="1" applyBorder="1" applyAlignment="1">
      <alignment wrapText="1"/>
    </xf>
    <xf numFmtId="1" fontId="0" fillId="6" borderId="1" xfId="0" applyNumberFormat="1" applyFill="1" applyBorder="1" applyAlignment="1">
      <alignment wrapText="1"/>
    </xf>
    <xf numFmtId="1" fontId="0" fillId="4" borderId="1" xfId="0" applyNumberFormat="1" applyFill="1" applyBorder="1" applyAlignment="1">
      <alignment wrapText="1"/>
    </xf>
    <xf numFmtId="0" fontId="2" fillId="5" borderId="1" xfId="0" applyFont="1" applyFill="1" applyBorder="1" applyAlignment="1">
      <alignment vertical="center" wrapText="1"/>
    </xf>
    <xf numFmtId="0" fontId="0" fillId="5" borderId="1" xfId="0" applyFill="1" applyBorder="1" applyAlignment="1">
      <alignment vertical="center"/>
    </xf>
    <xf numFmtId="0" fontId="0" fillId="5" borderId="1" xfId="0" applyFill="1" applyBorder="1" applyAlignment="1">
      <alignment horizontal="center" vertical="center" wrapText="1"/>
    </xf>
    <xf numFmtId="0" fontId="0" fillId="5" borderId="1" xfId="0" applyFill="1" applyBorder="1" applyAlignment="1">
      <alignment wrapText="1"/>
    </xf>
    <xf numFmtId="1" fontId="0" fillId="5" borderId="1" xfId="0" applyNumberFormat="1" applyFill="1" applyBorder="1" applyAlignment="1">
      <alignment wrapText="1"/>
    </xf>
    <xf numFmtId="164" fontId="0" fillId="5" borderId="1" xfId="0" applyNumberFormat="1" applyFill="1" applyBorder="1" applyAlignment="1">
      <alignment wrapText="1"/>
    </xf>
    <xf numFmtId="0" fontId="0" fillId="5" borderId="1" xfId="0" applyFill="1" applyBorder="1"/>
    <xf numFmtId="0" fontId="13" fillId="0" borderId="1" xfId="0" applyFont="1" applyBorder="1" applyAlignment="1">
      <alignment horizontal="justify" vertical="top" wrapText="1"/>
    </xf>
    <xf numFmtId="0" fontId="13" fillId="2" borderId="1" xfId="0" applyFont="1" applyFill="1" applyBorder="1" applyAlignment="1">
      <alignment horizontal="justify" vertical="top" wrapText="1"/>
    </xf>
    <xf numFmtId="0" fontId="0" fillId="0" borderId="0" xfId="0" applyFont="1"/>
    <xf numFmtId="0" fontId="13" fillId="2" borderId="3" xfId="0" applyFont="1" applyFill="1" applyBorder="1" applyAlignment="1">
      <alignment horizontal="justify" vertical="top" wrapText="1"/>
    </xf>
    <xf numFmtId="0" fontId="13" fillId="0" borderId="3" xfId="0" applyFont="1" applyBorder="1" applyAlignment="1">
      <alignment horizontal="justify" vertical="top" wrapText="1"/>
    </xf>
    <xf numFmtId="0" fontId="13" fillId="0" borderId="4" xfId="0" applyFont="1" applyBorder="1" applyAlignment="1">
      <alignment horizontal="justify" vertical="top" wrapText="1"/>
    </xf>
    <xf numFmtId="0" fontId="13" fillId="2" borderId="4" xfId="0" applyFont="1" applyFill="1" applyBorder="1" applyAlignment="1">
      <alignment horizontal="justify" vertical="top" wrapText="1"/>
    </xf>
    <xf numFmtId="0" fontId="13" fillId="2" borderId="6" xfId="0" applyFont="1" applyFill="1" applyBorder="1" applyAlignment="1">
      <alignment horizontal="justify" vertical="top" wrapText="1"/>
    </xf>
    <xf numFmtId="0" fontId="13" fillId="2" borderId="5" xfId="0" applyFont="1" applyFill="1" applyBorder="1" applyAlignment="1">
      <alignment horizontal="justify" vertical="top" wrapText="1"/>
    </xf>
    <xf numFmtId="0" fontId="13" fillId="0" borderId="3" xfId="0" applyFont="1" applyBorder="1" applyAlignment="1">
      <alignment horizontal="center" vertical="top" wrapText="1"/>
    </xf>
    <xf numFmtId="164" fontId="5" fillId="0" borderId="3" xfId="0" applyNumberFormat="1" applyFont="1" applyBorder="1" applyAlignment="1">
      <alignment horizontal="right" vertical="top"/>
    </xf>
    <xf numFmtId="0" fontId="13" fillId="0" borderId="36" xfId="0" applyFont="1" applyBorder="1" applyAlignment="1">
      <alignment horizontal="justify" vertical="top" wrapText="1"/>
    </xf>
    <xf numFmtId="0" fontId="13" fillId="0" borderId="41" xfId="0" applyFont="1" applyBorder="1" applyAlignment="1">
      <alignment horizontal="justify" vertical="top" wrapText="1"/>
    </xf>
    <xf numFmtId="0" fontId="13" fillId="0" borderId="1" xfId="0" applyFont="1" applyBorder="1" applyAlignment="1">
      <alignment horizontal="center" vertical="top" wrapText="1"/>
    </xf>
    <xf numFmtId="164" fontId="5" fillId="0" borderId="1" xfId="0" applyNumberFormat="1" applyFont="1" applyBorder="1" applyAlignment="1">
      <alignment horizontal="right" vertical="top"/>
    </xf>
    <xf numFmtId="0" fontId="13" fillId="0" borderId="37" xfId="0" applyFont="1" applyBorder="1" applyAlignment="1">
      <alignment horizontal="justify" vertical="top" wrapText="1"/>
    </xf>
    <xf numFmtId="0" fontId="13" fillId="0" borderId="42" xfId="0" applyFont="1" applyBorder="1" applyAlignment="1">
      <alignment horizontal="justify" vertical="top" wrapText="1"/>
    </xf>
    <xf numFmtId="0" fontId="13" fillId="2" borderId="3" xfId="0" applyFont="1" applyFill="1" applyBorder="1" applyAlignment="1">
      <alignment vertical="top" wrapText="1"/>
    </xf>
    <xf numFmtId="0" fontId="13" fillId="2" borderId="1" xfId="0" applyFont="1" applyFill="1" applyBorder="1" applyAlignment="1">
      <alignment horizontal="center" vertical="top" wrapText="1"/>
    </xf>
    <xf numFmtId="0" fontId="2" fillId="0" borderId="0" xfId="0" applyFont="1" applyBorder="1"/>
    <xf numFmtId="0" fontId="16" fillId="0" borderId="0" xfId="0" applyFont="1" applyAlignment="1">
      <alignment vertical="center"/>
    </xf>
    <xf numFmtId="0" fontId="11" fillId="10" borderId="43" xfId="0" applyFont="1" applyFill="1" applyBorder="1"/>
    <xf numFmtId="0" fontId="11" fillId="10" borderId="43" xfId="0" applyFont="1" applyFill="1" applyBorder="1" applyAlignment="1">
      <alignment wrapText="1"/>
    </xf>
    <xf numFmtId="0" fontId="15" fillId="10" borderId="44" xfId="0" applyFont="1" applyFill="1" applyBorder="1" applyAlignment="1">
      <alignment horizontal="center" vertical="center" wrapText="1"/>
    </xf>
    <xf numFmtId="0" fontId="15" fillId="10" borderId="44" xfId="0" applyFont="1" applyFill="1" applyBorder="1" applyAlignment="1">
      <alignment horizontal="center" vertical="center"/>
    </xf>
    <xf numFmtId="0" fontId="15" fillId="10" borderId="44" xfId="0" applyFont="1" applyFill="1" applyBorder="1" applyAlignment="1">
      <alignment vertical="center"/>
    </xf>
    <xf numFmtId="0" fontId="17" fillId="0" borderId="0" xfId="0" applyFont="1" applyAlignment="1">
      <alignment vertical="center"/>
    </xf>
    <xf numFmtId="0" fontId="0" fillId="0" borderId="0" xfId="0" applyAlignment="1">
      <alignment horizontal="right"/>
    </xf>
    <xf numFmtId="0" fontId="0" fillId="2" borderId="0" xfId="0" applyFill="1"/>
    <xf numFmtId="0" fontId="0" fillId="2" borderId="0" xfId="0" applyFill="1" applyAlignment="1">
      <alignment horizontal="center"/>
    </xf>
    <xf numFmtId="0" fontId="0" fillId="2" borderId="0" xfId="0" applyFill="1" applyAlignment="1">
      <alignment horizontal="right"/>
    </xf>
    <xf numFmtId="0" fontId="19" fillId="0" borderId="0" xfId="0" applyFont="1" applyAlignment="1">
      <alignment horizontal="center" vertical="center"/>
    </xf>
    <xf numFmtId="0" fontId="19" fillId="0" borderId="0" xfId="0" applyFont="1" applyAlignment="1">
      <alignment horizontal="center" wrapText="1"/>
    </xf>
    <xf numFmtId="0" fontId="18" fillId="0" borderId="45" xfId="0" applyFont="1" applyBorder="1" applyAlignment="1">
      <alignment horizontal="justify" wrapText="1"/>
    </xf>
    <xf numFmtId="0" fontId="20" fillId="0" borderId="0" xfId="0" applyFont="1"/>
    <xf numFmtId="164" fontId="14" fillId="0" borderId="0" xfId="0" applyNumberFormat="1" applyFont="1" applyAlignment="1">
      <alignment vertical="center"/>
    </xf>
    <xf numFmtId="164" fontId="18" fillId="0" borderId="45" xfId="0" applyNumberFormat="1" applyFont="1" applyBorder="1" applyAlignment="1">
      <alignment vertical="center"/>
    </xf>
    <xf numFmtId="0" fontId="14" fillId="0" borderId="0" xfId="0" applyFont="1" applyAlignment="1">
      <alignment horizontal="justify" vertical="center" wrapText="1"/>
    </xf>
    <xf numFmtId="0" fontId="6" fillId="0" borderId="0" xfId="0" applyFont="1" applyAlignment="1">
      <alignment horizontal="justify" wrapText="1"/>
    </xf>
    <xf numFmtId="0" fontId="0" fillId="0" borderId="0" xfId="0" applyAlignment="1">
      <alignment vertical="top"/>
    </xf>
    <xf numFmtId="0" fontId="21" fillId="2" borderId="1" xfId="0" applyFont="1" applyFill="1" applyBorder="1" applyAlignment="1">
      <alignment vertical="center"/>
    </xf>
    <xf numFmtId="0" fontId="21" fillId="2" borderId="1" xfId="0" applyFont="1" applyFill="1" applyBorder="1" applyAlignment="1">
      <alignment horizontal="center" vertical="center" wrapText="1"/>
    </xf>
    <xf numFmtId="0" fontId="14" fillId="0" borderId="3" xfId="0" applyFont="1" applyBorder="1" applyAlignment="1">
      <alignment horizontal="justify" vertical="top" wrapText="1"/>
    </xf>
    <xf numFmtId="0" fontId="14" fillId="0" borderId="3" xfId="0" applyFont="1" applyBorder="1" applyAlignment="1">
      <alignment horizontal="center" vertical="center"/>
    </xf>
    <xf numFmtId="0" fontId="14" fillId="0" borderId="1" xfId="0" applyFont="1" applyBorder="1" applyAlignment="1">
      <alignment horizontal="justify" vertical="top" wrapText="1"/>
    </xf>
    <xf numFmtId="0" fontId="14" fillId="0" borderId="1" xfId="0" applyFont="1" applyBorder="1" applyAlignment="1">
      <alignment horizontal="center" vertical="center"/>
    </xf>
    <xf numFmtId="0" fontId="21" fillId="0" borderId="1" xfId="0" applyFont="1" applyFill="1" applyBorder="1" applyAlignment="1">
      <alignment horizontal="justify" vertical="top" wrapText="1"/>
    </xf>
    <xf numFmtId="0" fontId="21" fillId="0" borderId="1" xfId="0" applyFont="1" applyBorder="1" applyAlignment="1">
      <alignment horizontal="center" vertical="center"/>
    </xf>
    <xf numFmtId="0" fontId="14" fillId="0" borderId="0" xfId="0" applyFont="1"/>
    <xf numFmtId="0" fontId="14" fillId="0" borderId="0" xfId="0" applyFont="1" applyAlignment="1">
      <alignment horizontal="center"/>
    </xf>
    <xf numFmtId="0" fontId="14" fillId="0" borderId="0" xfId="0" applyFont="1" applyAlignment="1">
      <alignment horizontal="justify"/>
    </xf>
    <xf numFmtId="0" fontId="14" fillId="0" borderId="0" xfId="0" applyFont="1" applyBorder="1"/>
    <xf numFmtId="0" fontId="0" fillId="0" borderId="0" xfId="0" applyFont="1" applyBorder="1"/>
    <xf numFmtId="0" fontId="14" fillId="0" borderId="0" xfId="0" applyFont="1" applyAlignment="1">
      <alignment vertical="center"/>
    </xf>
    <xf numFmtId="0" fontId="0" fillId="0" borderId="0" xfId="0" applyFont="1" applyAlignment="1">
      <alignment vertical="center"/>
    </xf>
    <xf numFmtId="0" fontId="0" fillId="2" borderId="0" xfId="0" applyFont="1" applyFill="1"/>
    <xf numFmtId="0" fontId="5" fillId="2" borderId="0" xfId="0" applyFont="1" applyFill="1"/>
    <xf numFmtId="0" fontId="0" fillId="2" borderId="0" xfId="0" applyFont="1" applyFill="1" applyAlignment="1">
      <alignment horizontal="center"/>
    </xf>
    <xf numFmtId="164" fontId="0" fillId="2" borderId="0" xfId="0" applyNumberFormat="1" applyFont="1" applyFill="1" applyAlignment="1">
      <alignment horizontal="right"/>
    </xf>
    <xf numFmtId="0" fontId="0" fillId="2" borderId="0" xfId="0" applyFont="1" applyFill="1" applyAlignment="1">
      <alignment horizontal="right"/>
    </xf>
    <xf numFmtId="0" fontId="23" fillId="0" borderId="0" xfId="0" applyFont="1"/>
    <xf numFmtId="0" fontId="20" fillId="0" borderId="0" xfId="0" applyFont="1" applyAlignment="1">
      <alignment horizontal="center"/>
    </xf>
    <xf numFmtId="0" fontId="20" fillId="0" borderId="0" xfId="0" applyFont="1" applyAlignment="1">
      <alignment horizontal="justify"/>
    </xf>
    <xf numFmtId="0" fontId="22" fillId="10" borderId="11"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5" xfId="0" applyFont="1" applyFill="1" applyBorder="1" applyAlignment="1">
      <alignment horizontal="center" vertical="center"/>
    </xf>
    <xf numFmtId="0" fontId="22" fillId="10" borderId="13" xfId="0" applyFont="1" applyFill="1" applyBorder="1" applyAlignment="1">
      <alignment horizontal="justify" vertical="center"/>
    </xf>
    <xf numFmtId="0" fontId="20" fillId="0" borderId="0" xfId="0" applyFont="1" applyBorder="1" applyAlignment="1">
      <alignment wrapText="1"/>
    </xf>
    <xf numFmtId="0" fontId="20" fillId="0" borderId="0" xfId="0" applyFont="1" applyBorder="1"/>
    <xf numFmtId="0" fontId="22" fillId="10" borderId="32" xfId="0" applyFont="1" applyFill="1" applyBorder="1" applyAlignment="1">
      <alignment horizontal="center" vertical="center" wrapText="1"/>
    </xf>
    <xf numFmtId="0" fontId="22" fillId="10" borderId="33" xfId="0" applyFont="1" applyFill="1" applyBorder="1" applyAlignment="1">
      <alignment horizontal="center" vertical="center"/>
    </xf>
    <xf numFmtId="0" fontId="22" fillId="10" borderId="33" xfId="0" applyFont="1" applyFill="1" applyBorder="1" applyAlignment="1">
      <alignment vertical="center"/>
    </xf>
    <xf numFmtId="0" fontId="24" fillId="0" borderId="6" xfId="0" applyFont="1" applyBorder="1" applyAlignment="1">
      <alignment horizontal="justify" vertical="top" wrapText="1"/>
    </xf>
    <xf numFmtId="0" fontId="24" fillId="2" borderId="6" xfId="0" applyFont="1" applyFill="1" applyBorder="1" applyAlignment="1">
      <alignment horizontal="justify" vertical="top" wrapText="1"/>
    </xf>
    <xf numFmtId="0" fontId="24" fillId="0" borderId="3" xfId="0" applyFont="1" applyBorder="1" applyAlignment="1">
      <alignment horizontal="justify" vertical="top" wrapText="1"/>
    </xf>
    <xf numFmtId="0" fontId="24" fillId="0" borderId="3" xfId="0" applyFont="1" applyBorder="1" applyAlignment="1">
      <alignment horizontal="center" vertical="top" wrapText="1"/>
    </xf>
    <xf numFmtId="9" fontId="24" fillId="2" borderId="3" xfId="1" applyFont="1" applyFill="1" applyBorder="1" applyAlignment="1">
      <alignment horizontal="center" vertical="top" wrapText="1"/>
    </xf>
    <xf numFmtId="9" fontId="24" fillId="0" borderId="3" xfId="1" applyFont="1" applyBorder="1" applyAlignment="1">
      <alignment horizontal="center" vertical="top" wrapText="1"/>
    </xf>
    <xf numFmtId="0" fontId="25" fillId="0" borderId="3" xfId="0" applyFont="1" applyBorder="1" applyAlignment="1">
      <alignment horizontal="center" vertical="top" wrapText="1"/>
    </xf>
    <xf numFmtId="0" fontId="24" fillId="2" borderId="1" xfId="0" applyFont="1" applyFill="1" applyBorder="1" applyAlignment="1">
      <alignment horizontal="justify" vertical="top" wrapText="1"/>
    </xf>
    <xf numFmtId="0" fontId="24" fillId="2" borderId="1" xfId="0" applyFont="1" applyFill="1" applyBorder="1" applyAlignment="1">
      <alignment vertical="top" wrapText="1"/>
    </xf>
    <xf numFmtId="0" fontId="24" fillId="0" borderId="16" xfId="0" applyFont="1" applyBorder="1" applyAlignment="1">
      <alignment horizontal="justify" vertical="top" wrapText="1"/>
    </xf>
    <xf numFmtId="0" fontId="24" fillId="2" borderId="5" xfId="0" applyFont="1" applyFill="1" applyBorder="1" applyAlignment="1">
      <alignment horizontal="justify" vertical="top" wrapText="1"/>
    </xf>
    <xf numFmtId="0" fontId="24" fillId="0" borderId="1" xfId="0" applyFont="1" applyBorder="1" applyAlignment="1">
      <alignment horizontal="justify" vertical="top" wrapText="1"/>
    </xf>
    <xf numFmtId="9" fontId="24" fillId="2" borderId="1" xfId="0" applyNumberFormat="1" applyFont="1" applyFill="1" applyBorder="1" applyAlignment="1">
      <alignment horizontal="center" vertical="top" wrapText="1"/>
    </xf>
    <xf numFmtId="0" fontId="24" fillId="2" borderId="3" xfId="0" applyFont="1" applyFill="1" applyBorder="1" applyAlignment="1">
      <alignment horizontal="center" vertical="top" wrapText="1"/>
    </xf>
    <xf numFmtId="0" fontId="24" fillId="0" borderId="35" xfId="0" applyFont="1" applyBorder="1" applyAlignment="1">
      <alignment horizontal="justify" vertical="top" wrapText="1"/>
    </xf>
    <xf numFmtId="0" fontId="26" fillId="2" borderId="3" xfId="0" applyFont="1" applyFill="1" applyBorder="1" applyAlignment="1">
      <alignment horizontal="justify" vertical="top" wrapText="1"/>
    </xf>
    <xf numFmtId="0" fontId="26" fillId="0" borderId="3" xfId="0" applyFont="1" applyBorder="1" applyAlignment="1">
      <alignment horizontal="justify" vertical="top" wrapText="1"/>
    </xf>
    <xf numFmtId="1" fontId="26" fillId="2" borderId="1" xfId="0" applyNumberFormat="1" applyFont="1" applyFill="1" applyBorder="1" applyAlignment="1">
      <alignment horizontal="center" vertical="top"/>
    </xf>
    <xf numFmtId="0" fontId="28" fillId="0" borderId="3" xfId="0" applyFont="1" applyBorder="1" applyAlignment="1">
      <alignment horizontal="justify" vertical="top" wrapText="1"/>
    </xf>
    <xf numFmtId="0" fontId="24" fillId="0" borderId="3" xfId="0" applyFont="1" applyBorder="1" applyAlignment="1">
      <alignment vertical="top"/>
    </xf>
    <xf numFmtId="9" fontId="26" fillId="2" borderId="1" xfId="1" applyFont="1" applyFill="1" applyBorder="1" applyAlignment="1">
      <alignment horizontal="center" vertical="top"/>
    </xf>
    <xf numFmtId="9" fontId="26" fillId="2" borderId="1" xfId="0" applyNumberFormat="1" applyFont="1" applyFill="1" applyBorder="1" applyAlignment="1">
      <alignment horizontal="center" vertical="top"/>
    </xf>
    <xf numFmtId="0" fontId="24" fillId="0" borderId="36" xfId="0" applyFont="1" applyBorder="1" applyAlignment="1">
      <alignment horizontal="justify" vertical="top" wrapText="1"/>
    </xf>
    <xf numFmtId="0" fontId="26" fillId="0" borderId="1" xfId="0" applyFont="1" applyBorder="1" applyAlignment="1">
      <alignment horizontal="justify" vertical="top" wrapText="1"/>
    </xf>
    <xf numFmtId="9" fontId="26" fillId="0" borderId="1" xfId="0" applyNumberFormat="1" applyFont="1" applyBorder="1" applyAlignment="1">
      <alignment horizontal="center" vertical="top" wrapText="1"/>
    </xf>
    <xf numFmtId="0" fontId="29" fillId="0" borderId="1" xfId="0" applyFont="1" applyBorder="1" applyAlignment="1">
      <alignment horizontal="center" vertical="center"/>
    </xf>
    <xf numFmtId="9" fontId="24" fillId="0" borderId="1" xfId="0" applyNumberFormat="1" applyFont="1" applyBorder="1" applyAlignment="1">
      <alignment horizontal="center" vertical="top"/>
    </xf>
    <xf numFmtId="0" fontId="26" fillId="0" borderId="1" xfId="0" applyFont="1" applyBorder="1" applyAlignment="1">
      <alignment vertical="top" wrapText="1"/>
    </xf>
    <xf numFmtId="0" fontId="24" fillId="0" borderId="37" xfId="0" applyFont="1" applyBorder="1" applyAlignment="1">
      <alignment horizontal="justify" vertical="top" wrapText="1"/>
    </xf>
    <xf numFmtId="0" fontId="26" fillId="2" borderId="1" xfId="0" applyFont="1" applyFill="1" applyBorder="1" applyAlignment="1">
      <alignment horizontal="justify" vertical="top" wrapText="1"/>
    </xf>
    <xf numFmtId="9" fontId="26" fillId="2" borderId="1" xfId="0" applyNumberFormat="1" applyFont="1" applyFill="1" applyBorder="1" applyAlignment="1">
      <alignment horizontal="center" vertical="top" wrapText="1"/>
    </xf>
    <xf numFmtId="0" fontId="29" fillId="2" borderId="1" xfId="0" applyFont="1" applyFill="1" applyBorder="1" applyAlignment="1">
      <alignment horizontal="center" vertical="top"/>
    </xf>
    <xf numFmtId="0" fontId="26" fillId="2" borderId="1" xfId="0" applyFont="1" applyFill="1" applyBorder="1" applyAlignment="1">
      <alignment horizontal="center" vertical="top"/>
    </xf>
    <xf numFmtId="0" fontId="24" fillId="0" borderId="3" xfId="0" applyFont="1" applyBorder="1" applyAlignment="1">
      <alignment horizontal="center"/>
    </xf>
    <xf numFmtId="164" fontId="27" fillId="0" borderId="3" xfId="0" applyNumberFormat="1" applyFont="1" applyBorder="1" applyAlignment="1">
      <alignment horizontal="center" vertical="top"/>
    </xf>
    <xf numFmtId="164" fontId="26" fillId="2" borderId="3" xfId="0" applyNumberFormat="1" applyFont="1" applyFill="1" applyBorder="1" applyAlignment="1">
      <alignment horizontal="center" vertical="top" wrapText="1"/>
    </xf>
    <xf numFmtId="164" fontId="27" fillId="0" borderId="1" xfId="0" applyNumberFormat="1" applyFont="1" applyBorder="1" applyAlignment="1">
      <alignment horizontal="center" vertical="top"/>
    </xf>
    <xf numFmtId="0" fontId="29" fillId="0" borderId="1" xfId="0" applyFont="1" applyBorder="1" applyAlignment="1">
      <alignment horizontal="center" vertical="top"/>
    </xf>
    <xf numFmtId="9" fontId="26" fillId="0" borderId="1" xfId="0" applyNumberFormat="1" applyFont="1" applyBorder="1" applyAlignment="1">
      <alignment horizontal="center" vertical="top"/>
    </xf>
    <xf numFmtId="164" fontId="24" fillId="0" borderId="3" xfId="0" applyNumberFormat="1" applyFont="1" applyBorder="1" applyAlignment="1">
      <alignment horizontal="center" vertical="top"/>
    </xf>
    <xf numFmtId="0" fontId="24" fillId="2" borderId="3" xfId="0" applyFont="1" applyFill="1" applyBorder="1" applyAlignment="1">
      <alignment horizontal="justify" vertical="top" wrapText="1"/>
    </xf>
    <xf numFmtId="9" fontId="24" fillId="2" borderId="5" xfId="1" applyFont="1" applyFill="1" applyBorder="1" applyAlignment="1">
      <alignment horizontal="center" vertical="top" wrapText="1"/>
    </xf>
    <xf numFmtId="9" fontId="24" fillId="2" borderId="3" xfId="0" applyNumberFormat="1" applyFont="1" applyFill="1" applyBorder="1" applyAlignment="1">
      <alignment horizontal="center" vertical="top" wrapText="1"/>
    </xf>
    <xf numFmtId="0" fontId="24" fillId="2" borderId="5" xfId="0" applyFont="1" applyFill="1" applyBorder="1" applyAlignment="1">
      <alignment horizontal="left" vertical="top" wrapText="1"/>
    </xf>
    <xf numFmtId="0" fontId="24" fillId="2" borderId="5" xfId="0" applyFont="1" applyFill="1" applyBorder="1" applyAlignment="1">
      <alignment vertical="top" wrapText="1"/>
    </xf>
    <xf numFmtId="0" fontId="24" fillId="2" borderId="1" xfId="0" applyFont="1" applyFill="1" applyBorder="1" applyAlignment="1">
      <alignment vertical="top"/>
    </xf>
    <xf numFmtId="0" fontId="24" fillId="2" borderId="17" xfId="0" applyFont="1" applyFill="1" applyBorder="1" applyAlignment="1">
      <alignment horizontal="justify" vertical="top" wrapText="1"/>
    </xf>
    <xf numFmtId="0" fontId="24" fillId="2" borderId="7" xfId="0" applyFont="1" applyFill="1" applyBorder="1" applyAlignment="1">
      <alignment horizontal="justify" vertical="top" wrapText="1"/>
    </xf>
    <xf numFmtId="0" fontId="26" fillId="2" borderId="5" xfId="0" applyFont="1" applyFill="1" applyBorder="1" applyAlignment="1">
      <alignment horizontal="justify" vertical="top" wrapText="1"/>
    </xf>
    <xf numFmtId="9" fontId="24" fillId="2" borderId="1" xfId="1" applyFont="1" applyFill="1" applyBorder="1" applyAlignment="1">
      <alignment horizontal="center" vertical="top"/>
    </xf>
    <xf numFmtId="9" fontId="24" fillId="2" borderId="1" xfId="0" applyNumberFormat="1" applyFont="1" applyFill="1" applyBorder="1" applyAlignment="1">
      <alignment horizontal="center" vertical="top"/>
    </xf>
    <xf numFmtId="0" fontId="24" fillId="2" borderId="4" xfId="0" applyFont="1" applyFill="1" applyBorder="1" applyAlignment="1">
      <alignment horizontal="justify" vertical="top" wrapText="1"/>
    </xf>
    <xf numFmtId="0" fontId="25" fillId="2" borderId="5" xfId="0" applyFont="1" applyFill="1" applyBorder="1" applyAlignment="1">
      <alignment horizontal="justify" vertical="top" wrapText="1"/>
    </xf>
    <xf numFmtId="0" fontId="25" fillId="2" borderId="1" xfId="0" applyFont="1" applyFill="1" applyBorder="1" applyAlignment="1">
      <alignment horizontal="center" vertical="center"/>
    </xf>
    <xf numFmtId="0" fontId="24" fillId="2" borderId="1" xfId="0" applyFont="1" applyFill="1" applyBorder="1"/>
    <xf numFmtId="0" fontId="24" fillId="2" borderId="18" xfId="0" applyFont="1" applyFill="1" applyBorder="1" applyAlignment="1">
      <alignment horizontal="justify" vertical="top" wrapText="1"/>
    </xf>
    <xf numFmtId="0" fontId="24" fillId="2" borderId="19" xfId="0" applyFont="1" applyFill="1" applyBorder="1" applyAlignment="1">
      <alignment horizontal="justify" vertical="top" wrapText="1"/>
    </xf>
    <xf numFmtId="0" fontId="26" fillId="2" borderId="5" xfId="0" applyFont="1" applyFill="1" applyBorder="1" applyAlignment="1">
      <alignment vertical="top" wrapText="1"/>
    </xf>
    <xf numFmtId="0" fontId="26" fillId="2" borderId="1" xfId="0" applyFont="1" applyFill="1" applyBorder="1" applyAlignment="1">
      <alignment horizontal="left" vertical="center" wrapText="1"/>
    </xf>
    <xf numFmtId="0" fontId="26" fillId="2" borderId="6" xfId="0" applyFont="1" applyFill="1" applyBorder="1" applyAlignment="1">
      <alignment horizontal="justify" vertical="top" wrapText="1"/>
    </xf>
    <xf numFmtId="0" fontId="26" fillId="2" borderId="3" xfId="0" applyFont="1" applyFill="1" applyBorder="1" applyAlignment="1">
      <alignment horizontal="left" vertical="top" wrapText="1"/>
    </xf>
    <xf numFmtId="0" fontId="26" fillId="2" borderId="1" xfId="0" applyFont="1" applyFill="1" applyBorder="1"/>
    <xf numFmtId="0" fontId="24" fillId="2" borderId="1" xfId="0" applyFont="1" applyFill="1" applyBorder="1" applyAlignment="1">
      <alignment horizontal="center" vertical="top"/>
    </xf>
    <xf numFmtId="0" fontId="31" fillId="0" borderId="0" xfId="0" applyFont="1"/>
    <xf numFmtId="0" fontId="31" fillId="0" borderId="0" xfId="0" applyFont="1" applyAlignment="1">
      <alignment horizontal="center"/>
    </xf>
    <xf numFmtId="0" fontId="22" fillId="10" borderId="8" xfId="0" applyFont="1" applyFill="1" applyBorder="1" applyAlignment="1">
      <alignment horizontal="center" vertical="center" wrapText="1"/>
    </xf>
    <xf numFmtId="0" fontId="22" fillId="10" borderId="12" xfId="0" applyFont="1" applyFill="1" applyBorder="1" applyAlignment="1">
      <alignment horizontal="center" vertical="center"/>
    </xf>
    <xf numFmtId="164" fontId="24" fillId="2" borderId="3" xfId="0" applyNumberFormat="1" applyFont="1" applyFill="1" applyBorder="1" applyAlignment="1">
      <alignment horizontal="center" vertical="top" wrapText="1"/>
    </xf>
    <xf numFmtId="0" fontId="24" fillId="0" borderId="0" xfId="0" applyFont="1" applyAlignment="1">
      <alignment vertical="center"/>
    </xf>
    <xf numFmtId="0" fontId="24" fillId="0" borderId="0" xfId="0" applyFont="1"/>
    <xf numFmtId="0" fontId="32" fillId="3" borderId="1" xfId="0" applyFont="1" applyFill="1" applyBorder="1" applyAlignment="1">
      <alignment horizontal="center" vertical="center" wrapText="1"/>
    </xf>
    <xf numFmtId="164" fontId="24" fillId="0" borderId="1" xfId="0" applyNumberFormat="1" applyFont="1" applyBorder="1" applyAlignment="1">
      <alignment horizontal="center"/>
    </xf>
    <xf numFmtId="0" fontId="24" fillId="0" borderId="1" xfId="0" applyFont="1" applyBorder="1" applyAlignment="1">
      <alignment horizontal="center"/>
    </xf>
    <xf numFmtId="164" fontId="24" fillId="0" borderId="1" xfId="0" applyNumberFormat="1" applyFont="1" applyBorder="1" applyAlignment="1">
      <alignment horizontal="right"/>
    </xf>
    <xf numFmtId="0" fontId="24" fillId="0" borderId="1" xfId="0" applyFont="1" applyBorder="1"/>
    <xf numFmtId="164" fontId="24" fillId="4" borderId="1" xfId="0" applyNumberFormat="1" applyFont="1" applyFill="1" applyBorder="1"/>
    <xf numFmtId="0" fontId="24" fillId="0" borderId="1" xfId="0" applyFont="1" applyBorder="1" applyAlignment="1">
      <alignment horizontal="right"/>
    </xf>
    <xf numFmtId="164" fontId="18" fillId="4" borderId="1" xfId="0" applyNumberFormat="1" applyFont="1" applyFill="1" applyBorder="1"/>
    <xf numFmtId="0" fontId="18" fillId="4" borderId="1" xfId="0" applyFont="1" applyFill="1" applyBorder="1"/>
    <xf numFmtId="0" fontId="24" fillId="0" borderId="0" xfId="0" applyFont="1" applyBorder="1" applyAlignment="1">
      <alignment horizontal="left"/>
    </xf>
    <xf numFmtId="0" fontId="24" fillId="0" borderId="0" xfId="0" applyFont="1" applyBorder="1"/>
    <xf numFmtId="0" fontId="24" fillId="0" borderId="0" xfId="0" applyFont="1" applyBorder="1" applyAlignment="1">
      <alignment horizontal="center"/>
    </xf>
    <xf numFmtId="164" fontId="24" fillId="0" borderId="0" xfId="0" applyNumberFormat="1" applyFont="1" applyBorder="1"/>
    <xf numFmtId="0" fontId="24" fillId="0" borderId="0" xfId="0" applyFont="1" applyAlignment="1">
      <alignment horizontal="center"/>
    </xf>
    <xf numFmtId="164" fontId="24" fillId="0" borderId="0" xfId="0" applyNumberFormat="1" applyFont="1" applyAlignment="1">
      <alignment horizontal="center"/>
    </xf>
    <xf numFmtId="164" fontId="24" fillId="0" borderId="0" xfId="0" applyNumberFormat="1" applyFont="1"/>
    <xf numFmtId="0" fontId="18" fillId="0" borderId="0" xfId="0" applyFont="1"/>
    <xf numFmtId="164" fontId="18" fillId="0" borderId="0" xfId="0" applyNumberFormat="1" applyFont="1"/>
    <xf numFmtId="0" fontId="24" fillId="6" borderId="20" xfId="0" applyFont="1" applyFill="1" applyBorder="1" applyAlignment="1">
      <alignment wrapText="1"/>
    </xf>
    <xf numFmtId="164" fontId="24" fillId="0" borderId="21" xfId="0" applyNumberFormat="1" applyFont="1" applyBorder="1"/>
    <xf numFmtId="0" fontId="24" fillId="0" borderId="21" xfId="0" applyFont="1" applyBorder="1"/>
    <xf numFmtId="0" fontId="24" fillId="0" borderId="22" xfId="0" applyFont="1" applyBorder="1"/>
    <xf numFmtId="0" fontId="24" fillId="0" borderId="23" xfId="0" applyFont="1" applyBorder="1"/>
    <xf numFmtId="0" fontId="24" fillId="0" borderId="24" xfId="0" applyFont="1" applyBorder="1"/>
    <xf numFmtId="164" fontId="24" fillId="0" borderId="24" xfId="0" applyNumberFormat="1" applyFont="1" applyBorder="1"/>
    <xf numFmtId="0" fontId="24" fillId="0" borderId="25" xfId="0" applyFont="1" applyBorder="1"/>
    <xf numFmtId="0" fontId="26" fillId="5" borderId="20" xfId="0" applyFont="1" applyFill="1" applyBorder="1"/>
    <xf numFmtId="0" fontId="30" fillId="0" borderId="21" xfId="0" applyFont="1" applyBorder="1" applyAlignment="1">
      <alignment horizontal="right"/>
    </xf>
    <xf numFmtId="0" fontId="30" fillId="0" borderId="21" xfId="0" applyFont="1" applyBorder="1" applyAlignment="1">
      <alignment horizontal="right" wrapText="1"/>
    </xf>
    <xf numFmtId="0" fontId="24" fillId="0" borderId="21" xfId="0" applyFont="1" applyBorder="1" applyAlignment="1">
      <alignment horizontal="center"/>
    </xf>
    <xf numFmtId="0" fontId="30" fillId="0" borderId="22" xfId="0" applyFont="1" applyBorder="1" applyAlignment="1">
      <alignment horizontal="right"/>
    </xf>
    <xf numFmtId="0" fontId="30" fillId="0" borderId="0" xfId="0" applyFont="1" applyBorder="1" applyAlignment="1">
      <alignment horizontal="right"/>
    </xf>
    <xf numFmtId="0" fontId="26" fillId="5" borderId="23" xfId="0" applyFont="1" applyFill="1" applyBorder="1" applyAlignment="1">
      <alignment wrapText="1"/>
    </xf>
    <xf numFmtId="0" fontId="26" fillId="0" borderId="24" xfId="0" applyFont="1" applyBorder="1" applyAlignment="1">
      <alignment horizontal="right" vertical="center"/>
    </xf>
    <xf numFmtId="164" fontId="26" fillId="0" borderId="24" xfId="0" applyNumberFormat="1" applyFont="1" applyBorder="1" applyAlignment="1">
      <alignment horizontal="right" vertical="center"/>
    </xf>
    <xf numFmtId="164" fontId="26" fillId="0" borderId="25" xfId="0" applyNumberFormat="1" applyFont="1" applyBorder="1" applyAlignment="1">
      <alignment horizontal="right" vertical="center"/>
    </xf>
    <xf numFmtId="164" fontId="26" fillId="0" borderId="0" xfId="0" applyNumberFormat="1" applyFont="1" applyBorder="1" applyAlignment="1">
      <alignment horizontal="right" vertical="center"/>
    </xf>
    <xf numFmtId="0" fontId="24" fillId="0" borderId="20" xfId="0" applyFont="1" applyBorder="1"/>
    <xf numFmtId="0" fontId="18" fillId="0" borderId="21" xfId="0" applyFont="1" applyBorder="1" applyAlignment="1">
      <alignment horizontal="right"/>
    </xf>
    <xf numFmtId="0" fontId="18" fillId="0" borderId="22" xfId="0" applyFont="1" applyBorder="1" applyAlignment="1">
      <alignment horizontal="right"/>
    </xf>
    <xf numFmtId="0" fontId="32" fillId="3" borderId="26" xfId="0" applyFont="1" applyFill="1" applyBorder="1" applyAlignment="1">
      <alignment horizontal="center" vertical="center" wrapText="1"/>
    </xf>
    <xf numFmtId="164" fontId="24" fillId="0" borderId="27" xfId="0" applyNumberFormat="1" applyFont="1" applyBorder="1"/>
    <xf numFmtId="0" fontId="32" fillId="3" borderId="28" xfId="0" applyFont="1" applyFill="1" applyBorder="1" applyAlignment="1">
      <alignment horizontal="center" vertical="center" wrapText="1"/>
    </xf>
    <xf numFmtId="0" fontId="32" fillId="3" borderId="23" xfId="0" applyFont="1" applyFill="1" applyBorder="1" applyAlignment="1">
      <alignment horizontal="center" vertical="center" wrapText="1"/>
    </xf>
    <xf numFmtId="164" fontId="24" fillId="0" borderId="25" xfId="0" applyNumberFormat="1" applyFont="1" applyBorder="1"/>
    <xf numFmtId="0" fontId="24" fillId="7" borderId="23" xfId="0" applyFont="1" applyFill="1" applyBorder="1"/>
    <xf numFmtId="0" fontId="24" fillId="8" borderId="23" xfId="0" applyFont="1" applyFill="1" applyBorder="1"/>
    <xf numFmtId="164" fontId="24" fillId="0" borderId="1" xfId="0" applyNumberFormat="1" applyFont="1" applyBorder="1"/>
    <xf numFmtId="0" fontId="30" fillId="0" borderId="0" xfId="0" applyFont="1" applyAlignment="1">
      <alignment horizontal="right"/>
    </xf>
    <xf numFmtId="0" fontId="24" fillId="0" borderId="36" xfId="0" applyFont="1" applyBorder="1" applyAlignment="1">
      <alignment horizontal="justify" vertical="top" wrapText="1"/>
    </xf>
    <xf numFmtId="0" fontId="24" fillId="0" borderId="37" xfId="0" applyFont="1" applyBorder="1" applyAlignment="1">
      <alignment horizontal="justify" vertical="top" wrapText="1"/>
    </xf>
    <xf numFmtId="0" fontId="24" fillId="0" borderId="46" xfId="0" applyFont="1" applyBorder="1" applyAlignment="1">
      <alignment horizontal="justify" vertical="top" wrapText="1"/>
    </xf>
    <xf numFmtId="164" fontId="18" fillId="0" borderId="0" xfId="0" applyNumberFormat="1" applyFont="1" applyBorder="1"/>
    <xf numFmtId="0" fontId="0" fillId="9" borderId="1" xfId="0" applyFill="1" applyBorder="1" applyAlignment="1">
      <alignment horizontal="center" vertical="center" wrapText="1"/>
    </xf>
    <xf numFmtId="0" fontId="2" fillId="11" borderId="1" xfId="0" applyFont="1" applyFill="1" applyBorder="1" applyAlignment="1">
      <alignment vertical="center" wrapText="1"/>
    </xf>
    <xf numFmtId="0" fontId="0" fillId="11" borderId="1" xfId="0" applyFill="1" applyBorder="1" applyAlignment="1">
      <alignment vertical="center"/>
    </xf>
    <xf numFmtId="0" fontId="0" fillId="11" borderId="1" xfId="0" applyFill="1" applyBorder="1" applyAlignment="1">
      <alignment horizontal="center" vertical="center" wrapText="1"/>
    </xf>
    <xf numFmtId="0" fontId="0" fillId="11" borderId="1" xfId="0" applyFill="1" applyBorder="1" applyAlignment="1">
      <alignment wrapText="1"/>
    </xf>
    <xf numFmtId="1" fontId="0" fillId="11" borderId="1" xfId="0" applyNumberFormat="1" applyFill="1" applyBorder="1" applyAlignment="1">
      <alignment wrapText="1"/>
    </xf>
    <xf numFmtId="164" fontId="0" fillId="11" borderId="1" xfId="0" applyNumberFormat="1" applyFill="1" applyBorder="1" applyAlignment="1">
      <alignment wrapText="1"/>
    </xf>
    <xf numFmtId="0" fontId="0" fillId="11" borderId="1" xfId="0" applyFill="1" applyBorder="1"/>
    <xf numFmtId="0" fontId="2" fillId="9" borderId="1" xfId="0" applyFont="1" applyFill="1" applyBorder="1" applyAlignment="1">
      <alignment vertical="center" wrapText="1"/>
    </xf>
    <xf numFmtId="0" fontId="0" fillId="9" borderId="1" xfId="0" applyFill="1" applyBorder="1" applyAlignment="1">
      <alignment vertical="center"/>
    </xf>
    <xf numFmtId="1" fontId="0" fillId="9" borderId="1" xfId="0" applyNumberFormat="1" applyFill="1" applyBorder="1"/>
    <xf numFmtId="0" fontId="24" fillId="2" borderId="41" xfId="0" applyFont="1" applyFill="1" applyBorder="1" applyAlignment="1">
      <alignment horizontal="justify" vertical="top" wrapText="1"/>
    </xf>
    <xf numFmtId="0" fontId="24" fillId="2" borderId="3" xfId="0" applyFont="1" applyFill="1" applyBorder="1" applyAlignment="1">
      <alignment horizontal="center" vertical="top"/>
    </xf>
    <xf numFmtId="164" fontId="27" fillId="2" borderId="3" xfId="0" applyNumberFormat="1" applyFont="1" applyFill="1" applyBorder="1" applyAlignment="1">
      <alignment horizontal="center" vertical="top"/>
    </xf>
    <xf numFmtId="0" fontId="28" fillId="2" borderId="3" xfId="0" applyFont="1" applyFill="1" applyBorder="1" applyAlignment="1">
      <alignment horizontal="justify" vertical="top" wrapText="1"/>
    </xf>
    <xf numFmtId="0" fontId="24" fillId="2" borderId="6" xfId="0" applyFont="1" applyFill="1" applyBorder="1" applyAlignment="1">
      <alignment vertical="top" wrapText="1"/>
    </xf>
    <xf numFmtId="0" fontId="24" fillId="2" borderId="6" xfId="0" applyFont="1" applyFill="1" applyBorder="1" applyAlignment="1">
      <alignment horizontal="left" vertical="top" wrapText="1"/>
    </xf>
    <xf numFmtId="0" fontId="0" fillId="2" borderId="0" xfId="0" applyFont="1" applyFill="1" applyAlignment="1">
      <alignment vertical="top"/>
    </xf>
    <xf numFmtId="0" fontId="0" fillId="2" borderId="0" xfId="0" applyFill="1" applyAlignment="1">
      <alignment vertical="top"/>
    </xf>
    <xf numFmtId="0" fontId="24" fillId="0" borderId="7" xfId="0" applyFont="1" applyBorder="1" applyAlignment="1">
      <alignment horizontal="justify" vertical="top" wrapText="1"/>
    </xf>
    <xf numFmtId="0" fontId="23"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4" fillId="0" borderId="5" xfId="0" applyFont="1" applyBorder="1" applyAlignment="1">
      <alignment horizontal="justify" vertical="top" wrapText="1"/>
    </xf>
    <xf numFmtId="0" fontId="24" fillId="0" borderId="6" xfId="0" applyFont="1" applyBorder="1" applyAlignment="1">
      <alignment horizontal="justify" vertical="top" wrapText="1"/>
    </xf>
    <xf numFmtId="0" fontId="0" fillId="9" borderId="1" xfId="0" applyFill="1" applyBorder="1" applyAlignment="1">
      <alignment horizontal="center" vertical="center" wrapText="1"/>
    </xf>
    <xf numFmtId="0" fontId="24" fillId="2" borderId="6" xfId="0" applyFont="1" applyFill="1" applyBorder="1" applyAlignment="1">
      <alignment horizontal="center" vertical="top" wrapText="1"/>
    </xf>
    <xf numFmtId="164" fontId="24" fillId="2" borderId="1" xfId="0" applyNumberFormat="1" applyFont="1" applyFill="1" applyBorder="1" applyAlignment="1">
      <alignment horizontal="center" vertical="top"/>
    </xf>
    <xf numFmtId="0" fontId="26" fillId="2" borderId="3" xfId="0" applyFont="1" applyFill="1" applyBorder="1" applyAlignment="1">
      <alignment horizontal="center" vertical="top" wrapText="1"/>
    </xf>
    <xf numFmtId="0" fontId="26" fillId="2" borderId="7" xfId="0" applyFont="1" applyFill="1" applyBorder="1" applyAlignment="1">
      <alignment horizontal="justify" vertical="top" wrapText="1"/>
    </xf>
    <xf numFmtId="164" fontId="26" fillId="2" borderId="1" xfId="0" applyNumberFormat="1" applyFont="1" applyFill="1" applyBorder="1" applyAlignment="1">
      <alignment horizontal="center" vertical="top"/>
    </xf>
    <xf numFmtId="0" fontId="26" fillId="2" borderId="1" xfId="0" applyFont="1" applyFill="1" applyBorder="1" applyAlignment="1">
      <alignment vertical="top" wrapText="1"/>
    </xf>
    <xf numFmtId="0" fontId="24" fillId="2" borderId="1" xfId="0" applyFont="1" applyFill="1" applyBorder="1" applyAlignment="1">
      <alignment horizontal="center" vertical="top" wrapText="1"/>
    </xf>
    <xf numFmtId="0" fontId="24" fillId="2" borderId="6" xfId="0" applyFont="1" applyFill="1" applyBorder="1" applyAlignment="1"/>
    <xf numFmtId="0" fontId="24" fillId="2" borderId="5" xfId="0" applyFont="1" applyFill="1" applyBorder="1" applyAlignment="1">
      <alignment horizontal="justify" vertical="top" wrapText="1"/>
    </xf>
    <xf numFmtId="0" fontId="24" fillId="2" borderId="6" xfId="0" applyFont="1" applyFill="1" applyBorder="1" applyAlignment="1">
      <alignment vertical="top"/>
    </xf>
    <xf numFmtId="10" fontId="24" fillId="2" borderId="3" xfId="0" applyNumberFormat="1" applyFont="1" applyFill="1" applyBorder="1" applyAlignment="1">
      <alignment horizontal="center" vertical="top" wrapText="1"/>
    </xf>
    <xf numFmtId="0" fontId="24" fillId="2" borderId="3" xfId="0" applyNumberFormat="1" applyFont="1" applyFill="1" applyBorder="1" applyAlignment="1">
      <alignment horizontal="center" vertical="top" wrapText="1"/>
    </xf>
    <xf numFmtId="0" fontId="0" fillId="2" borderId="0" xfId="0" applyFill="1" applyAlignment="1">
      <alignment horizontal="justify"/>
    </xf>
    <xf numFmtId="164" fontId="0" fillId="2" borderId="0" xfId="0" applyNumberFormat="1" applyFill="1"/>
    <xf numFmtId="0" fontId="34" fillId="2" borderId="6" xfId="0" applyFont="1" applyFill="1" applyBorder="1" applyAlignment="1">
      <alignment horizontal="justify" vertical="top" wrapText="1"/>
    </xf>
    <xf numFmtId="0" fontId="34" fillId="2" borderId="17" xfId="0" applyFont="1" applyFill="1" applyBorder="1" applyAlignment="1">
      <alignment horizontal="justify" vertical="top" wrapText="1"/>
    </xf>
    <xf numFmtId="0" fontId="34" fillId="2" borderId="4" xfId="0" applyFont="1" applyFill="1" applyBorder="1" applyAlignment="1">
      <alignment horizontal="justify" vertical="top" wrapText="1"/>
    </xf>
    <xf numFmtId="0" fontId="34" fillId="2" borderId="1" xfId="0" applyFont="1" applyFill="1" applyBorder="1" applyAlignment="1">
      <alignment horizontal="justify" vertical="top" wrapText="1"/>
    </xf>
    <xf numFmtId="9" fontId="34" fillId="2" borderId="1" xfId="1" applyFont="1" applyFill="1" applyBorder="1" applyAlignment="1">
      <alignment horizontal="center" vertical="top"/>
    </xf>
    <xf numFmtId="9" fontId="34" fillId="2" borderId="1" xfId="0" applyNumberFormat="1" applyFont="1" applyFill="1" applyBorder="1" applyAlignment="1">
      <alignment horizontal="center" vertical="top"/>
    </xf>
    <xf numFmtId="164" fontId="34" fillId="2" borderId="3" xfId="0" applyNumberFormat="1" applyFont="1" applyFill="1" applyBorder="1" applyAlignment="1">
      <alignment horizontal="center" vertical="top" wrapText="1"/>
    </xf>
    <xf numFmtId="0" fontId="34" fillId="2" borderId="5" xfId="0" applyFont="1" applyFill="1" applyBorder="1" applyAlignment="1">
      <alignment horizontal="justify" vertical="top" wrapText="1"/>
    </xf>
    <xf numFmtId="0" fontId="34" fillId="2" borderId="5" xfId="0" applyFont="1" applyFill="1" applyBorder="1"/>
    <xf numFmtId="0" fontId="35" fillId="2" borderId="0" xfId="0" applyFont="1" applyFill="1"/>
    <xf numFmtId="0" fontId="36" fillId="2" borderId="0" xfId="0" applyFont="1" applyFill="1"/>
    <xf numFmtId="0" fontId="24" fillId="4" borderId="41" xfId="0" applyFont="1" applyFill="1" applyBorder="1" applyAlignment="1">
      <alignment horizontal="justify" vertical="top" wrapText="1"/>
    </xf>
    <xf numFmtId="0" fontId="26" fillId="4" borderId="3" xfId="0" applyFont="1" applyFill="1" applyBorder="1" applyAlignment="1">
      <alignment horizontal="justify" vertical="top" wrapText="1"/>
    </xf>
    <xf numFmtId="164" fontId="27" fillId="4" borderId="3" xfId="0" applyNumberFormat="1" applyFont="1" applyFill="1" applyBorder="1" applyAlignment="1">
      <alignment horizontal="center" vertical="top"/>
    </xf>
    <xf numFmtId="0" fontId="24" fillId="4" borderId="3" xfId="0" applyFont="1" applyFill="1" applyBorder="1" applyAlignment="1">
      <alignment horizontal="justify" vertical="top" wrapText="1"/>
    </xf>
    <xf numFmtId="0" fontId="28" fillId="4" borderId="3" xfId="0" applyFont="1" applyFill="1" applyBorder="1" applyAlignment="1">
      <alignment horizontal="justify" vertical="top" wrapText="1"/>
    </xf>
    <xf numFmtId="0" fontId="24" fillId="4" borderId="6" xfId="0" applyFont="1" applyFill="1" applyBorder="1" applyAlignment="1">
      <alignment horizontal="justify" vertical="top" wrapText="1"/>
    </xf>
    <xf numFmtId="0" fontId="0" fillId="4" borderId="0" xfId="0" applyFill="1" applyAlignment="1">
      <alignment vertical="center"/>
    </xf>
    <xf numFmtId="10" fontId="24" fillId="4" borderId="3" xfId="0" applyNumberFormat="1" applyFont="1" applyFill="1" applyBorder="1" applyAlignment="1">
      <alignment horizontal="center" vertical="top" wrapText="1"/>
    </xf>
    <xf numFmtId="9" fontId="24" fillId="4" borderId="3" xfId="0" applyNumberFormat="1" applyFont="1" applyFill="1" applyBorder="1" applyAlignment="1">
      <alignment horizontal="center" vertical="top" wrapText="1"/>
    </xf>
    <xf numFmtId="0" fontId="37" fillId="12" borderId="1" xfId="0" applyFont="1" applyFill="1" applyBorder="1" applyAlignment="1">
      <alignment horizontal="center" vertical="center"/>
    </xf>
    <xf numFmtId="0" fontId="14" fillId="12" borderId="1" xfId="0" applyFont="1" applyFill="1" applyBorder="1" applyAlignment="1">
      <alignment horizontal="center" vertical="center"/>
    </xf>
    <xf numFmtId="0" fontId="24" fillId="4" borderId="1" xfId="0" applyFont="1" applyFill="1" applyBorder="1" applyAlignment="1">
      <alignment horizontal="justify" vertical="top" wrapText="1"/>
    </xf>
    <xf numFmtId="0" fontId="0" fillId="2" borderId="0" xfId="0" applyFill="1" applyAlignment="1">
      <alignment vertical="center"/>
    </xf>
    <xf numFmtId="0" fontId="0" fillId="2" borderId="0" xfId="0" applyFont="1" applyFill="1" applyAlignment="1">
      <alignment vertical="center"/>
    </xf>
    <xf numFmtId="0" fontId="24" fillId="4" borderId="6" xfId="0" applyFont="1" applyFill="1" applyBorder="1" applyAlignment="1">
      <alignment vertical="top" wrapText="1"/>
    </xf>
    <xf numFmtId="0" fontId="26" fillId="4" borderId="3" xfId="0" applyFont="1" applyFill="1" applyBorder="1" applyAlignment="1">
      <alignment horizontal="center" vertical="top" wrapText="1"/>
    </xf>
    <xf numFmtId="164" fontId="39" fillId="4" borderId="3" xfId="0" applyNumberFormat="1" applyFont="1" applyFill="1" applyBorder="1" applyAlignment="1">
      <alignment horizontal="center" vertical="top"/>
    </xf>
    <xf numFmtId="0" fontId="22" fillId="10" borderId="40"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22" fillId="10" borderId="8" xfId="0" applyFont="1" applyFill="1" applyBorder="1" applyAlignment="1">
      <alignment horizontal="center" vertical="center"/>
    </xf>
    <xf numFmtId="0" fontId="22" fillId="10" borderId="38" xfId="0" applyFont="1" applyFill="1" applyBorder="1" applyAlignment="1">
      <alignment horizontal="center" vertical="center" wrapText="1"/>
    </xf>
    <xf numFmtId="0" fontId="22" fillId="10" borderId="39" xfId="0" applyFont="1" applyFill="1" applyBorder="1" applyAlignment="1">
      <alignment horizontal="center" vertical="center" wrapText="1"/>
    </xf>
    <xf numFmtId="0" fontId="22" fillId="10" borderId="29"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47" xfId="0" applyFont="1" applyFill="1" applyBorder="1" applyAlignment="1">
      <alignment horizontal="center" vertical="center"/>
    </xf>
    <xf numFmtId="0" fontId="22" fillId="10" borderId="14" xfId="0" applyFont="1" applyFill="1" applyBorder="1" applyAlignment="1">
      <alignment horizontal="center" vertical="center" wrapText="1"/>
    </xf>
    <xf numFmtId="0" fontId="22" fillId="10" borderId="8" xfId="0" applyFont="1" applyFill="1" applyBorder="1" applyAlignment="1">
      <alignment horizontal="justify" vertical="center" wrapText="1"/>
    </xf>
    <xf numFmtId="0" fontId="22" fillId="10" borderId="11" xfId="0" applyFont="1" applyFill="1" applyBorder="1" applyAlignment="1">
      <alignment horizontal="justify" vertical="center" wrapText="1"/>
    </xf>
    <xf numFmtId="0" fontId="24" fillId="0" borderId="35" xfId="0" applyFont="1" applyBorder="1" applyAlignment="1">
      <alignment horizontal="justify" vertical="top" wrapText="1"/>
    </xf>
    <xf numFmtId="0" fontId="24" fillId="0" borderId="36" xfId="0" applyFont="1" applyBorder="1" applyAlignment="1">
      <alignment horizontal="justify" vertical="top" wrapText="1"/>
    </xf>
    <xf numFmtId="0" fontId="24" fillId="0" borderId="37" xfId="0" applyFont="1" applyBorder="1" applyAlignment="1">
      <alignment horizontal="justify" vertical="top" wrapText="1"/>
    </xf>
    <xf numFmtId="0" fontId="22" fillId="10" borderId="32" xfId="0" applyFont="1" applyFill="1" applyBorder="1" applyAlignment="1">
      <alignment horizontal="center" vertical="center"/>
    </xf>
    <xf numFmtId="0" fontId="22" fillId="10" borderId="34" xfId="0" applyFont="1" applyFill="1" applyBorder="1" applyAlignment="1">
      <alignment horizontal="center" vertical="center"/>
    </xf>
    <xf numFmtId="0" fontId="22" fillId="10" borderId="32"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24" fillId="2" borderId="5" xfId="0" applyFont="1" applyFill="1" applyBorder="1" applyAlignment="1">
      <alignment horizontal="justify" vertical="top" wrapText="1"/>
    </xf>
    <xf numFmtId="0" fontId="27" fillId="2" borderId="3" xfId="0" applyFont="1" applyFill="1" applyBorder="1" applyAlignment="1">
      <alignment horizontal="justify"/>
    </xf>
    <xf numFmtId="0" fontId="22" fillId="10" borderId="10" xfId="0" applyFont="1" applyFill="1" applyBorder="1" applyAlignment="1">
      <alignment horizontal="center" vertical="center"/>
    </xf>
    <xf numFmtId="0" fontId="22" fillId="10" borderId="48" xfId="0" applyFont="1" applyFill="1" applyBorder="1" applyAlignment="1">
      <alignment horizontal="center" vertical="center" wrapText="1"/>
    </xf>
    <xf numFmtId="0" fontId="22" fillId="10" borderId="11" xfId="0" applyFont="1" applyFill="1" applyBorder="1" applyAlignment="1">
      <alignment horizontal="center" vertical="center"/>
    </xf>
    <xf numFmtId="0" fontId="22" fillId="10" borderId="30" xfId="0" applyFont="1" applyFill="1" applyBorder="1" applyAlignment="1">
      <alignment horizontal="center" vertical="center"/>
    </xf>
    <xf numFmtId="0" fontId="22" fillId="10" borderId="31" xfId="0" applyFont="1" applyFill="1" applyBorder="1" applyAlignment="1">
      <alignment horizontal="center" vertical="center"/>
    </xf>
    <xf numFmtId="0" fontId="22" fillId="10" borderId="0" xfId="0" applyFont="1" applyFill="1" applyAlignment="1">
      <alignment horizontal="center"/>
    </xf>
    <xf numFmtId="0" fontId="22" fillId="10" borderId="0" xfId="0" applyFont="1" applyFill="1" applyBorder="1" applyAlignment="1">
      <alignment horizontal="center"/>
    </xf>
    <xf numFmtId="0" fontId="32" fillId="3" borderId="1" xfId="0" applyFont="1" applyFill="1" applyBorder="1" applyAlignment="1">
      <alignment horizontal="center" vertical="center"/>
    </xf>
    <xf numFmtId="0" fontId="24" fillId="0" borderId="2" xfId="0" applyFont="1" applyBorder="1" applyAlignment="1">
      <alignment horizontal="left"/>
    </xf>
    <xf numFmtId="0" fontId="24" fillId="0" borderId="4" xfId="0" applyFont="1" applyBorder="1" applyAlignment="1">
      <alignment horizontal="left"/>
    </xf>
    <xf numFmtId="0" fontId="18" fillId="4" borderId="2" xfId="0" applyFont="1" applyFill="1" applyBorder="1" applyAlignment="1">
      <alignment horizontal="left"/>
    </xf>
    <xf numFmtId="0" fontId="18" fillId="4" borderId="4" xfId="0" applyFont="1" applyFill="1" applyBorder="1" applyAlignment="1">
      <alignment horizontal="left"/>
    </xf>
    <xf numFmtId="0" fontId="32" fillId="3" borderId="1" xfId="0" applyFont="1" applyFill="1" applyBorder="1" applyAlignment="1">
      <alignment horizontal="center" vertical="center" wrapText="1"/>
    </xf>
    <xf numFmtId="0" fontId="18" fillId="0" borderId="0" xfId="0" applyFont="1" applyAlignment="1">
      <alignment horizontal="left" wrapText="1"/>
    </xf>
    <xf numFmtId="0" fontId="24" fillId="0" borderId="1" xfId="0" applyFont="1" applyBorder="1" applyAlignment="1">
      <alignment horizontal="left" wrapText="1"/>
    </xf>
    <xf numFmtId="0" fontId="0" fillId="9" borderId="1" xfId="0" applyFill="1" applyBorder="1" applyAlignment="1">
      <alignment horizontal="center" vertical="center" wrapText="1"/>
    </xf>
    <xf numFmtId="0" fontId="0" fillId="2" borderId="0" xfId="0" applyFill="1" applyBorder="1" applyAlignment="1">
      <alignment vertical="top" wrapText="1"/>
    </xf>
    <xf numFmtId="0" fontId="11" fillId="10" borderId="44" xfId="0" applyFont="1" applyFill="1" applyBorder="1" applyAlignment="1">
      <alignment horizontal="left"/>
    </xf>
    <xf numFmtId="0" fontId="11" fillId="10" borderId="44" xfId="0" applyFont="1" applyFill="1" applyBorder="1" applyAlignment="1">
      <alignment horizontal="left" wrapText="1"/>
    </xf>
    <xf numFmtId="0" fontId="13" fillId="0" borderId="36" xfId="0" applyFont="1" applyBorder="1" applyAlignment="1">
      <alignment horizontal="justify" vertical="top" wrapText="1"/>
    </xf>
    <xf numFmtId="0" fontId="13" fillId="0" borderId="37" xfId="0" applyFont="1" applyBorder="1" applyAlignment="1">
      <alignment horizontal="justify" vertical="top" wrapText="1"/>
    </xf>
    <xf numFmtId="0" fontId="15" fillId="10" borderId="44" xfId="0" applyFont="1" applyFill="1" applyBorder="1" applyAlignment="1">
      <alignment horizontal="center" vertical="center" wrapText="1"/>
    </xf>
    <xf numFmtId="0" fontId="15" fillId="10" borderId="43" xfId="0" applyFont="1" applyFill="1" applyBorder="1" applyAlignment="1">
      <alignment horizontal="center" vertical="center"/>
    </xf>
    <xf numFmtId="0" fontId="15" fillId="10" borderId="44" xfId="0" applyFont="1" applyFill="1" applyBorder="1" applyAlignment="1">
      <alignment horizontal="center" vertical="center"/>
    </xf>
    <xf numFmtId="9" fontId="40" fillId="2" borderId="1" xfId="1" applyFont="1" applyFill="1" applyBorder="1" applyAlignment="1">
      <alignment horizontal="center" vertical="top"/>
    </xf>
    <xf numFmtId="9" fontId="40" fillId="2" borderId="1" xfId="0" applyNumberFormat="1" applyFont="1" applyFill="1" applyBorder="1" applyAlignment="1">
      <alignment horizontal="center" vertical="top"/>
    </xf>
  </cellXfs>
  <cellStyles count="2">
    <cellStyle name="Normal" xfId="0" builtinId="0"/>
    <cellStyle name="Porcentaje"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806449</xdr:colOff>
      <xdr:row>2</xdr:row>
      <xdr:rowOff>184354</xdr:rowOff>
    </xdr:from>
    <xdr:to>
      <xdr:col>12</xdr:col>
      <xdr:colOff>276531</xdr:colOff>
      <xdr:row>30</xdr:row>
      <xdr:rowOff>101600</xdr:rowOff>
    </xdr:to>
    <xdr:sp macro="" textlink="">
      <xdr:nvSpPr>
        <xdr:cNvPr id="2" name="Rectángulo: esquinas redondeadas 1">
          <a:extLst>
            <a:ext uri="{FF2B5EF4-FFF2-40B4-BE49-F238E27FC236}">
              <a16:creationId xmlns:a16="http://schemas.microsoft.com/office/drawing/2014/main" id="{7A1494EE-E0C3-43FC-9088-FE8809DB676D}"/>
            </a:ext>
          </a:extLst>
        </xdr:cNvPr>
        <xdr:cNvSpPr/>
      </xdr:nvSpPr>
      <xdr:spPr>
        <a:xfrm>
          <a:off x="806449" y="573548"/>
          <a:ext cx="9179437" cy="5365955"/>
        </a:xfrm>
        <a:prstGeom prst="round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oneCellAnchor>
    <xdr:from>
      <xdr:col>1</xdr:col>
      <xdr:colOff>531639</xdr:colOff>
      <xdr:row>6</xdr:row>
      <xdr:rowOff>4772</xdr:rowOff>
    </xdr:from>
    <xdr:ext cx="7712432" cy="937629"/>
    <xdr:sp macro="" textlink="">
      <xdr:nvSpPr>
        <xdr:cNvPr id="3" name="Rectángulo 2">
          <a:extLst>
            <a:ext uri="{FF2B5EF4-FFF2-40B4-BE49-F238E27FC236}">
              <a16:creationId xmlns:a16="http://schemas.microsoft.com/office/drawing/2014/main" id="{2D97352F-37EF-495F-AF55-5888CEF9DF33}"/>
            </a:ext>
          </a:extLst>
        </xdr:cNvPr>
        <xdr:cNvSpPr/>
      </xdr:nvSpPr>
      <xdr:spPr>
        <a:xfrm>
          <a:off x="1340752" y="1172353"/>
          <a:ext cx="7712432" cy="937629"/>
        </a:xfrm>
        <a:prstGeom prst="rect">
          <a:avLst/>
        </a:prstGeom>
        <a:noFill/>
      </xdr:spPr>
      <xdr:txBody>
        <a:bodyPr wrap="none" lIns="91440" tIns="45720" rIns="91440" bIns="45720">
          <a:spAutoFit/>
        </a:bodyPr>
        <a:lstStyle/>
        <a:p>
          <a:pPr algn="ctr"/>
          <a:r>
            <a:rPr lang="es-ES" sz="5400" b="0" cap="none" spc="0">
              <a:ln w="0"/>
              <a:solidFill>
                <a:schemeClr val="bg1"/>
              </a:solidFill>
              <a:effectLst>
                <a:reflection blurRad="6350" stA="53000" endA="300" endPos="35500" dir="5400000" sy="-90000" algn="bl" rotWithShape="0"/>
              </a:effectLst>
            </a:rPr>
            <a:t>Ministerio de Justicia y Paz</a:t>
          </a:r>
        </a:p>
      </xdr:txBody>
    </xdr:sp>
    <xdr:clientData/>
  </xdr:oneCellAnchor>
  <xdr:oneCellAnchor>
    <xdr:from>
      <xdr:col>5</xdr:col>
      <xdr:colOff>733142</xdr:colOff>
      <xdr:row>14</xdr:row>
      <xdr:rowOff>172535</xdr:rowOff>
    </xdr:from>
    <xdr:ext cx="184730" cy="937629"/>
    <xdr:sp macro="" textlink="">
      <xdr:nvSpPr>
        <xdr:cNvPr id="4" name="Rectángulo 3">
          <a:extLst>
            <a:ext uri="{FF2B5EF4-FFF2-40B4-BE49-F238E27FC236}">
              <a16:creationId xmlns:a16="http://schemas.microsoft.com/office/drawing/2014/main" id="{C79EF371-C837-4811-A3B4-30853F986CD1}"/>
            </a:ext>
          </a:extLst>
        </xdr:cNvPr>
        <xdr:cNvSpPr/>
      </xdr:nvSpPr>
      <xdr:spPr>
        <a:xfrm>
          <a:off x="4797142" y="2928435"/>
          <a:ext cx="184730" cy="937629"/>
        </a:xfrm>
        <a:prstGeom prst="rect">
          <a:avLst/>
        </a:prstGeom>
        <a:noFill/>
      </xdr:spPr>
      <xdr:txBody>
        <a:bodyPr wrap="none" lIns="91440" tIns="45720" rIns="91440" bIns="45720">
          <a:spAutoFit/>
        </a:bodyPr>
        <a:lstStyle/>
        <a:p>
          <a:pPr algn="ctr"/>
          <a:endParaRPr lang="es-ES" sz="5400" b="0" cap="none" spc="0">
            <a:ln w="0"/>
            <a:solidFill>
              <a:schemeClr val="bg1"/>
            </a:solidFill>
            <a:effectLst>
              <a:outerShdw blurRad="38100" dist="19050" dir="2700000" algn="tl" rotWithShape="0">
                <a:schemeClr val="dk1">
                  <a:alpha val="40000"/>
                </a:schemeClr>
              </a:outerShdw>
            </a:effectLst>
          </a:endParaRPr>
        </a:p>
      </xdr:txBody>
    </xdr:sp>
    <xdr:clientData/>
  </xdr:oneCellAnchor>
  <xdr:oneCellAnchor>
    <xdr:from>
      <xdr:col>4</xdr:col>
      <xdr:colOff>484999</xdr:colOff>
      <xdr:row>24</xdr:row>
      <xdr:rowOff>190500</xdr:rowOff>
    </xdr:from>
    <xdr:ext cx="2970557" cy="530658"/>
    <xdr:sp macro="" textlink="">
      <xdr:nvSpPr>
        <xdr:cNvPr id="5" name="Rectángulo 4">
          <a:extLst>
            <a:ext uri="{FF2B5EF4-FFF2-40B4-BE49-F238E27FC236}">
              <a16:creationId xmlns:a16="http://schemas.microsoft.com/office/drawing/2014/main" id="{532462C4-31E8-4EC9-B174-32DB5C22DE71}"/>
            </a:ext>
          </a:extLst>
        </xdr:cNvPr>
        <xdr:cNvSpPr/>
      </xdr:nvSpPr>
      <xdr:spPr>
        <a:xfrm>
          <a:off x="3736199" y="4914900"/>
          <a:ext cx="2970557" cy="530658"/>
        </a:xfrm>
        <a:prstGeom prst="rect">
          <a:avLst/>
        </a:prstGeom>
        <a:noFill/>
      </xdr:spPr>
      <xdr:txBody>
        <a:bodyPr wrap="none" lIns="91440" tIns="45720" rIns="91440" bIns="45720">
          <a:spAutoFit/>
        </a:bodyPr>
        <a:lstStyle/>
        <a:p>
          <a:pPr algn="ctr"/>
          <a:r>
            <a:rPr lang="es-ES" sz="2800" b="0" cap="none" spc="0">
              <a:ln w="0"/>
              <a:solidFill>
                <a:schemeClr val="bg1"/>
              </a:solidFill>
              <a:effectLst>
                <a:reflection blurRad="6350" stA="53000" endA="300" endPos="35500" dir="5400000" sy="-90000" algn="bl" rotWithShape="0"/>
              </a:effectLst>
            </a:rPr>
            <a:t>Periodo 2022-2026</a:t>
          </a:r>
        </a:p>
      </xdr:txBody>
    </xdr:sp>
    <xdr:clientData/>
  </xdr:oneCellAnchor>
  <xdr:oneCellAnchor>
    <xdr:from>
      <xdr:col>1</xdr:col>
      <xdr:colOff>138815</xdr:colOff>
      <xdr:row>15</xdr:row>
      <xdr:rowOff>184560</xdr:rowOff>
    </xdr:from>
    <xdr:ext cx="8694048" cy="843757"/>
    <xdr:sp macro="" textlink="">
      <xdr:nvSpPr>
        <xdr:cNvPr id="7" name="Rectángulo 6">
          <a:extLst>
            <a:ext uri="{FF2B5EF4-FFF2-40B4-BE49-F238E27FC236}">
              <a16:creationId xmlns:a16="http://schemas.microsoft.com/office/drawing/2014/main" id="{0A8290B8-C8DC-4C40-8928-DF83F49B330F}"/>
            </a:ext>
          </a:extLst>
        </xdr:cNvPr>
        <xdr:cNvSpPr/>
      </xdr:nvSpPr>
      <xdr:spPr>
        <a:xfrm>
          <a:off x="947928" y="3103512"/>
          <a:ext cx="8694048" cy="843757"/>
        </a:xfrm>
        <a:prstGeom prst="rect">
          <a:avLst/>
        </a:prstGeom>
        <a:noFill/>
      </xdr:spPr>
      <xdr:txBody>
        <a:bodyPr wrap="none" lIns="91440" tIns="45720" rIns="91440" bIns="45720">
          <a:spAutoFit/>
        </a:bodyPr>
        <a:lstStyle/>
        <a:p>
          <a:pPr algn="ctr"/>
          <a:r>
            <a:rPr lang="es-ES" sz="4800" b="0" cap="none" spc="0">
              <a:ln w="0"/>
              <a:solidFill>
                <a:schemeClr val="bg1"/>
              </a:solidFill>
              <a:effectLst>
                <a:reflection blurRad="6350" stA="53000" endA="300" endPos="35500" dir="5400000" sy="-90000" algn="bl" rotWithShape="0"/>
              </a:effectLst>
            </a:rPr>
            <a:t>Plan Estratégico</a:t>
          </a:r>
          <a:r>
            <a:rPr lang="es-ES" sz="4800" b="0" cap="none" spc="0" baseline="0">
              <a:ln w="0"/>
              <a:solidFill>
                <a:schemeClr val="bg1"/>
              </a:solidFill>
              <a:effectLst>
                <a:reflection blurRad="6350" stA="53000" endA="300" endPos="35500" dir="5400000" sy="-90000" algn="bl" rotWithShape="0"/>
              </a:effectLst>
            </a:rPr>
            <a:t> Institucional (PEI)</a:t>
          </a:r>
          <a:endParaRPr lang="es-ES" sz="4800" b="0" cap="none" spc="0">
            <a:ln w="0"/>
            <a:solidFill>
              <a:schemeClr val="bg1"/>
            </a:solidFill>
            <a:effectLst>
              <a:reflection blurRad="6350" stA="53000" endA="300" endPos="35500" dir="5400000" sy="-90000" algn="bl" rotWithShape="0"/>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D010D-73D3-4A80-A74E-B3523466EF48}">
  <dimension ref="A1"/>
  <sheetViews>
    <sheetView showGridLines="0" topLeftCell="A13" zoomScale="62" zoomScaleNormal="62" workbookViewId="0">
      <selection activeCell="O11" sqref="O11"/>
    </sheetView>
  </sheetViews>
  <sheetFormatPr baseColWidth="10" defaultRowHeight="15.7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60A98-473B-469E-9AF6-9D4A62EEA421}">
  <dimension ref="B3:B15"/>
  <sheetViews>
    <sheetView showGridLines="0" workbookViewId="0">
      <selection activeCell="C11" sqref="C11"/>
    </sheetView>
  </sheetViews>
  <sheetFormatPr baseColWidth="10" defaultRowHeight="15.75" x14ac:dyDescent="0.25"/>
  <cols>
    <col min="2" max="2" width="39.75" customWidth="1"/>
  </cols>
  <sheetData>
    <row r="3" spans="2:2" x14ac:dyDescent="0.25">
      <c r="B3" s="2" t="s">
        <v>37</v>
      </c>
    </row>
    <row r="4" spans="2:2" x14ac:dyDescent="0.25">
      <c r="B4" s="2" t="s">
        <v>38</v>
      </c>
    </row>
    <row r="5" spans="2:2" x14ac:dyDescent="0.25">
      <c r="B5" s="2" t="s">
        <v>39</v>
      </c>
    </row>
    <row r="6" spans="2:2" x14ac:dyDescent="0.25">
      <c r="B6" s="2" t="s">
        <v>40</v>
      </c>
    </row>
    <row r="7" spans="2:2" x14ac:dyDescent="0.25">
      <c r="B7" s="2" t="s">
        <v>41</v>
      </c>
    </row>
    <row r="8" spans="2:2" x14ac:dyDescent="0.25">
      <c r="B8" s="2" t="s">
        <v>42</v>
      </c>
    </row>
    <row r="9" spans="2:2" x14ac:dyDescent="0.25">
      <c r="B9" s="2" t="s">
        <v>43</v>
      </c>
    </row>
    <row r="10" spans="2:2" x14ac:dyDescent="0.25">
      <c r="B10" s="2" t="s">
        <v>44</v>
      </c>
    </row>
    <row r="11" spans="2:2" x14ac:dyDescent="0.25">
      <c r="B11" s="2" t="s">
        <v>45</v>
      </c>
    </row>
    <row r="12" spans="2:2" x14ac:dyDescent="0.25">
      <c r="B12" s="2" t="s">
        <v>46</v>
      </c>
    </row>
    <row r="13" spans="2:2" x14ac:dyDescent="0.25">
      <c r="B13" s="2" t="s">
        <v>47</v>
      </c>
    </row>
    <row r="14" spans="2:2" x14ac:dyDescent="0.25">
      <c r="B14" s="2" t="s">
        <v>48</v>
      </c>
    </row>
    <row r="15" spans="2:2" x14ac:dyDescent="0.25">
      <c r="B15" s="2"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6FC0-8EAC-4D4E-A7F4-CF4FCE6CF498}">
  <dimension ref="A2:X17"/>
  <sheetViews>
    <sheetView showGridLines="0" zoomScale="74" zoomScaleNormal="74" workbookViewId="0">
      <pane xSplit="3" ySplit="5" topLeftCell="J6" activePane="bottomRight" state="frozen"/>
      <selection pane="topRight" activeCell="D1" sqref="D1"/>
      <selection pane="bottomLeft" activeCell="A6" sqref="A6"/>
      <selection pane="bottomRight" activeCell="Q11" sqref="Q11"/>
    </sheetView>
  </sheetViews>
  <sheetFormatPr baseColWidth="10" defaultRowHeight="15.75" x14ac:dyDescent="0.25"/>
  <cols>
    <col min="1" max="1" width="22.375" bestFit="1" customWidth="1"/>
    <col min="2" max="2" width="22.375" style="7" customWidth="1"/>
    <col min="3" max="3" width="22.375" bestFit="1" customWidth="1"/>
    <col min="4" max="4" width="17.375" customWidth="1"/>
    <col min="5" max="5" width="18.875" customWidth="1"/>
    <col min="6" max="6" width="23.125" customWidth="1"/>
    <col min="7" max="7" width="16.875" customWidth="1"/>
    <col min="8" max="8" width="26.375" customWidth="1"/>
    <col min="9" max="9" width="24.375" customWidth="1"/>
    <col min="10" max="10" width="14.875" customWidth="1"/>
    <col min="11" max="15" width="12" customWidth="1"/>
    <col min="16" max="16" width="30.25" customWidth="1"/>
    <col min="17" max="17" width="26.25" style="6" customWidth="1"/>
    <col min="18" max="18" width="49.875" customWidth="1"/>
    <col min="19" max="19" width="16.875" customWidth="1"/>
    <col min="20" max="21" width="14.625" customWidth="1"/>
    <col min="22" max="22" width="33.5" customWidth="1"/>
    <col min="23" max="23" width="41.375" style="7" customWidth="1"/>
  </cols>
  <sheetData>
    <row r="2" spans="1:24" s="259" customFormat="1" ht="19.5" x14ac:dyDescent="0.25">
      <c r="A2" s="258" t="s">
        <v>211</v>
      </c>
      <c r="B2" s="259" t="s">
        <v>1</v>
      </c>
      <c r="J2" s="260"/>
      <c r="K2" s="260"/>
      <c r="L2" s="260"/>
      <c r="M2" s="260"/>
      <c r="N2" s="260"/>
      <c r="O2" s="260"/>
      <c r="X2" s="96"/>
    </row>
    <row r="3" spans="1:24" ht="20.25" thickBot="1" x14ac:dyDescent="0.3">
      <c r="A3" s="77"/>
      <c r="B3" s="105"/>
      <c r="C3" s="77"/>
      <c r="D3" s="77"/>
      <c r="E3" s="77"/>
      <c r="F3" s="77"/>
      <c r="G3" s="77"/>
      <c r="H3" s="77"/>
      <c r="I3" s="77"/>
      <c r="J3" s="77"/>
      <c r="K3" s="77"/>
      <c r="L3" s="77"/>
      <c r="M3" s="77"/>
      <c r="N3" s="77"/>
      <c r="O3" s="77"/>
      <c r="P3" s="77"/>
      <c r="Q3" s="104"/>
      <c r="R3" s="77"/>
      <c r="S3" s="77"/>
      <c r="T3" s="77"/>
      <c r="U3" s="77"/>
      <c r="V3" s="77"/>
      <c r="W3" s="105"/>
    </row>
    <row r="4" spans="1:24" s="3" customFormat="1" ht="32.1" customHeight="1" thickTop="1" thickBot="1" x14ac:dyDescent="0.3">
      <c r="A4" s="315" t="s">
        <v>7</v>
      </c>
      <c r="B4" s="318" t="s">
        <v>19</v>
      </c>
      <c r="C4" s="308" t="s">
        <v>135</v>
      </c>
      <c r="D4" s="308" t="s">
        <v>10</v>
      </c>
      <c r="E4" s="317" t="s">
        <v>34</v>
      </c>
      <c r="F4" s="317"/>
      <c r="G4" s="308" t="s">
        <v>13</v>
      </c>
      <c r="H4" s="308" t="s">
        <v>16</v>
      </c>
      <c r="I4" s="308"/>
      <c r="J4" s="306" t="s">
        <v>136</v>
      </c>
      <c r="K4" s="313" t="s">
        <v>160</v>
      </c>
      <c r="L4" s="314"/>
      <c r="M4" s="314"/>
      <c r="N4" s="314"/>
      <c r="O4" s="314"/>
      <c r="P4" s="311" t="s">
        <v>102</v>
      </c>
      <c r="Q4" s="306" t="s">
        <v>0</v>
      </c>
      <c r="R4" s="308" t="s">
        <v>15</v>
      </c>
      <c r="S4" s="310" t="s">
        <v>18</v>
      </c>
      <c r="T4" s="310"/>
      <c r="U4" s="310"/>
      <c r="V4" s="310"/>
      <c r="W4" s="310"/>
    </row>
    <row r="5" spans="1:24" s="3" customFormat="1" ht="54.75" customHeight="1" thickBot="1" x14ac:dyDescent="0.3">
      <c r="A5" s="316"/>
      <c r="B5" s="319"/>
      <c r="C5" s="309"/>
      <c r="D5" s="309"/>
      <c r="E5" s="106" t="s">
        <v>11</v>
      </c>
      <c r="F5" s="106" t="s">
        <v>12</v>
      </c>
      <c r="G5" s="309"/>
      <c r="H5" s="107" t="s">
        <v>11</v>
      </c>
      <c r="I5" s="107" t="s">
        <v>12</v>
      </c>
      <c r="J5" s="307"/>
      <c r="K5" s="108">
        <v>2022</v>
      </c>
      <c r="L5" s="108">
        <v>2023</v>
      </c>
      <c r="M5" s="108">
        <v>2024</v>
      </c>
      <c r="N5" s="108">
        <v>2025</v>
      </c>
      <c r="O5" s="108">
        <v>2026</v>
      </c>
      <c r="P5" s="312"/>
      <c r="Q5" s="307"/>
      <c r="R5" s="309"/>
      <c r="S5" s="107" t="s">
        <v>52</v>
      </c>
      <c r="T5" s="107" t="s">
        <v>53</v>
      </c>
      <c r="U5" s="107" t="s">
        <v>54</v>
      </c>
      <c r="V5" s="107" t="s">
        <v>9</v>
      </c>
      <c r="W5" s="109" t="s">
        <v>50</v>
      </c>
    </row>
    <row r="6" spans="1:24" ht="369.75" customHeight="1" thickTop="1" x14ac:dyDescent="0.25">
      <c r="A6" s="261" t="s">
        <v>299</v>
      </c>
      <c r="B6" s="257" t="s">
        <v>297</v>
      </c>
      <c r="C6" s="262" t="s">
        <v>194</v>
      </c>
      <c r="D6" s="262" t="s">
        <v>148</v>
      </c>
      <c r="E6" s="262" t="s">
        <v>149</v>
      </c>
      <c r="F6" s="116" t="s">
        <v>150</v>
      </c>
      <c r="G6" s="117" t="s">
        <v>29</v>
      </c>
      <c r="H6" s="117" t="s">
        <v>30</v>
      </c>
      <c r="I6" s="117" t="s">
        <v>151</v>
      </c>
      <c r="J6" s="118">
        <f>1/8*100</f>
        <v>12.5</v>
      </c>
      <c r="K6" s="119">
        <f>1/8</f>
        <v>0.125</v>
      </c>
      <c r="L6" s="120">
        <f>2/8</f>
        <v>0.25</v>
      </c>
      <c r="M6" s="120">
        <f>3/8</f>
        <v>0.375</v>
      </c>
      <c r="N6" s="120">
        <f>2/8</f>
        <v>0.25</v>
      </c>
      <c r="O6" s="121"/>
      <c r="P6" s="154">
        <v>20494.73</v>
      </c>
      <c r="Q6" s="118" t="s">
        <v>31</v>
      </c>
      <c r="R6" s="117" t="s">
        <v>152</v>
      </c>
      <c r="S6" s="122" t="s">
        <v>55</v>
      </c>
      <c r="T6" s="122" t="s">
        <v>51</v>
      </c>
      <c r="U6" s="261"/>
      <c r="V6" s="123" t="s">
        <v>144</v>
      </c>
      <c r="W6" s="124" t="s">
        <v>220</v>
      </c>
    </row>
    <row r="7" spans="1:24" s="99" customFormat="1" ht="229.5" customHeight="1" x14ac:dyDescent="0.25">
      <c r="A7" s="174"/>
      <c r="B7" s="144" t="s">
        <v>259</v>
      </c>
      <c r="C7" s="144" t="s">
        <v>196</v>
      </c>
      <c r="D7" s="163" t="s">
        <v>145</v>
      </c>
      <c r="E7" s="163" t="s">
        <v>146</v>
      </c>
      <c r="F7" s="163" t="s">
        <v>147</v>
      </c>
      <c r="G7" s="267" t="s">
        <v>143</v>
      </c>
      <c r="H7" s="130" t="s">
        <v>64</v>
      </c>
      <c r="I7" s="130" t="s">
        <v>17</v>
      </c>
      <c r="J7" s="266">
        <v>12</v>
      </c>
      <c r="K7" s="266">
        <v>12</v>
      </c>
      <c r="L7" s="266">
        <v>12</v>
      </c>
      <c r="M7" s="266">
        <v>12</v>
      </c>
      <c r="N7" s="266">
        <v>12</v>
      </c>
      <c r="O7" s="266">
        <v>12</v>
      </c>
      <c r="P7" s="268">
        <v>330.42</v>
      </c>
      <c r="Q7" s="266" t="s">
        <v>4</v>
      </c>
      <c r="R7" s="130" t="s">
        <v>161</v>
      </c>
      <c r="S7" s="144" t="s">
        <v>55</v>
      </c>
      <c r="T7" s="144" t="s">
        <v>51</v>
      </c>
      <c r="U7" s="163"/>
      <c r="V7" s="269" t="s">
        <v>144</v>
      </c>
      <c r="W7" s="144" t="s">
        <v>260</v>
      </c>
    </row>
    <row r="8" spans="1:24" s="71" customFormat="1" ht="235.5" customHeight="1" x14ac:dyDescent="0.25">
      <c r="A8" s="271"/>
      <c r="B8" s="116"/>
      <c r="C8" s="264"/>
      <c r="D8" s="116"/>
      <c r="E8" s="116"/>
      <c r="F8" s="116"/>
      <c r="G8" s="122" t="s">
        <v>23</v>
      </c>
      <c r="H8" s="155" t="s">
        <v>35</v>
      </c>
      <c r="I8" s="155" t="s">
        <v>24</v>
      </c>
      <c r="J8" s="157">
        <v>0</v>
      </c>
      <c r="K8" s="270"/>
      <c r="L8" s="270"/>
      <c r="M8" s="270"/>
      <c r="N8" s="127">
        <v>0.35</v>
      </c>
      <c r="O8" s="127">
        <v>0.65</v>
      </c>
      <c r="P8" s="265">
        <v>45</v>
      </c>
      <c r="Q8" s="128" t="s">
        <v>36</v>
      </c>
      <c r="R8" s="155" t="s">
        <v>65</v>
      </c>
      <c r="S8" s="122" t="s">
        <v>55</v>
      </c>
      <c r="T8" s="122" t="s">
        <v>51</v>
      </c>
      <c r="U8" s="122"/>
      <c r="V8" s="123" t="s">
        <v>144</v>
      </c>
      <c r="W8" s="122" t="s">
        <v>221</v>
      </c>
    </row>
    <row r="9" spans="1:24" s="71" customFormat="1" ht="207.6" customHeight="1" x14ac:dyDescent="0.25">
      <c r="A9" s="273"/>
      <c r="B9" s="116"/>
      <c r="C9" s="272" t="s">
        <v>271</v>
      </c>
      <c r="D9" s="272" t="s">
        <v>272</v>
      </c>
      <c r="E9" s="272" t="s">
        <v>273</v>
      </c>
      <c r="F9" s="272" t="s">
        <v>274</v>
      </c>
      <c r="G9" s="272" t="s">
        <v>275</v>
      </c>
      <c r="H9" s="155" t="s">
        <v>262</v>
      </c>
      <c r="I9" s="155" t="s">
        <v>24</v>
      </c>
      <c r="J9" s="157">
        <v>0</v>
      </c>
      <c r="K9" s="127">
        <v>1</v>
      </c>
      <c r="L9" s="127"/>
      <c r="M9" s="270"/>
      <c r="N9" s="127"/>
      <c r="O9" s="127"/>
      <c r="P9" s="268">
        <v>125</v>
      </c>
      <c r="Q9" s="128" t="s">
        <v>238</v>
      </c>
      <c r="R9" s="155" t="s">
        <v>263</v>
      </c>
      <c r="S9" s="122" t="s">
        <v>55</v>
      </c>
      <c r="T9" s="122" t="s">
        <v>51</v>
      </c>
      <c r="U9" s="122"/>
      <c r="V9" s="122" t="s">
        <v>144</v>
      </c>
      <c r="W9" s="122" t="s">
        <v>267</v>
      </c>
    </row>
    <row r="10" spans="1:24" s="71" customFormat="1" ht="216" x14ac:dyDescent="0.25">
      <c r="A10" s="273"/>
      <c r="B10" s="116"/>
      <c r="C10" s="155"/>
      <c r="D10" s="155"/>
      <c r="E10" s="155"/>
      <c r="F10" s="155"/>
      <c r="G10" s="155"/>
      <c r="H10" s="155" t="s">
        <v>276</v>
      </c>
      <c r="I10" s="155" t="s">
        <v>277</v>
      </c>
      <c r="J10" s="157">
        <v>0</v>
      </c>
      <c r="K10" s="157">
        <v>0</v>
      </c>
      <c r="L10" s="127">
        <v>0.25</v>
      </c>
      <c r="M10" s="127">
        <v>0.25</v>
      </c>
      <c r="N10" s="127">
        <v>0.25</v>
      </c>
      <c r="O10" s="127">
        <v>0.25</v>
      </c>
      <c r="P10" s="268">
        <v>160</v>
      </c>
      <c r="Q10" s="128" t="s">
        <v>238</v>
      </c>
      <c r="R10" s="155" t="s">
        <v>266</v>
      </c>
      <c r="S10" s="122" t="s">
        <v>264</v>
      </c>
      <c r="T10" s="122" t="s">
        <v>51</v>
      </c>
      <c r="U10" s="122"/>
      <c r="V10" s="122" t="s">
        <v>270</v>
      </c>
      <c r="W10" s="122" t="s">
        <v>268</v>
      </c>
    </row>
    <row r="11" spans="1:24" s="71" customFormat="1" ht="304.5" customHeight="1" x14ac:dyDescent="0.25">
      <c r="A11" s="273"/>
      <c r="B11" s="144" t="s">
        <v>269</v>
      </c>
      <c r="C11" s="122" t="s">
        <v>258</v>
      </c>
      <c r="D11" s="122" t="s">
        <v>255</v>
      </c>
      <c r="E11" s="122" t="s">
        <v>256</v>
      </c>
      <c r="F11" s="122" t="s">
        <v>261</v>
      </c>
      <c r="G11" s="144" t="s">
        <v>283</v>
      </c>
      <c r="H11" s="155" t="s">
        <v>282</v>
      </c>
      <c r="I11" s="155" t="s">
        <v>284</v>
      </c>
      <c r="J11" s="274">
        <v>0</v>
      </c>
      <c r="K11" s="275">
        <v>35</v>
      </c>
      <c r="L11" s="275">
        <v>40</v>
      </c>
      <c r="M11" s="275">
        <v>45</v>
      </c>
      <c r="N11" s="275">
        <v>50</v>
      </c>
      <c r="O11" s="275">
        <v>55</v>
      </c>
      <c r="P11" s="268">
        <f>40*5</f>
        <v>200</v>
      </c>
      <c r="Q11" s="128" t="s">
        <v>257</v>
      </c>
      <c r="R11" s="130"/>
      <c r="S11" s="122" t="s">
        <v>55</v>
      </c>
      <c r="T11" s="122" t="s">
        <v>51</v>
      </c>
      <c r="U11" s="122" t="s">
        <v>281</v>
      </c>
      <c r="V11" s="122" t="s">
        <v>265</v>
      </c>
      <c r="W11" s="122" t="s">
        <v>221</v>
      </c>
    </row>
    <row r="12" spans="1:24" s="71" customFormat="1" x14ac:dyDescent="0.25">
      <c r="B12" s="276"/>
      <c r="P12" s="277">
        <f>SUM(P6:P11)</f>
        <v>21355.149999999998</v>
      </c>
      <c r="Q12" s="72"/>
      <c r="W12" s="276"/>
    </row>
    <row r="13" spans="1:24" x14ac:dyDescent="0.25">
      <c r="A13" s="91"/>
      <c r="B13" s="93"/>
      <c r="C13" s="91"/>
      <c r="D13" s="91"/>
      <c r="E13" s="91"/>
      <c r="F13" s="91"/>
      <c r="G13" s="91"/>
      <c r="H13" s="91"/>
      <c r="I13" s="91"/>
      <c r="J13" s="91"/>
      <c r="K13" s="91"/>
      <c r="L13" s="91"/>
      <c r="M13" s="91"/>
      <c r="N13" s="91"/>
      <c r="O13" s="91"/>
      <c r="P13" s="91"/>
      <c r="Q13" s="92"/>
      <c r="R13" s="91"/>
      <c r="S13" s="91"/>
      <c r="T13" s="91"/>
      <c r="U13" s="91"/>
      <c r="V13" s="91"/>
      <c r="W13" s="93"/>
    </row>
    <row r="17" ht="28.5" customHeight="1" x14ac:dyDescent="0.25"/>
  </sheetData>
  <mergeCells count="13">
    <mergeCell ref="A4:A5"/>
    <mergeCell ref="D4:D5"/>
    <mergeCell ref="G4:G5"/>
    <mergeCell ref="E4:F4"/>
    <mergeCell ref="B4:B5"/>
    <mergeCell ref="C4:C5"/>
    <mergeCell ref="Q4:Q5"/>
    <mergeCell ref="R4:R5"/>
    <mergeCell ref="S4:W4"/>
    <mergeCell ref="H4:I4"/>
    <mergeCell ref="P4:P5"/>
    <mergeCell ref="K4:O4"/>
    <mergeCell ref="J4:J5"/>
  </mergeCells>
  <pageMargins left="0.7" right="0.7" top="0.75" bottom="0.75" header="0.3" footer="0.3"/>
  <pageSetup orientation="portrait" r:id="rId1"/>
  <ignoredErrors>
    <ignoredError sqref="M6"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52F4170-0E22-40B9-9848-1C51CD0E7952}">
          <x14:formula1>
            <xm:f>'Lista de Riesgos'!$B$3:$B$15</xm:f>
          </x14:formula1>
          <xm:sqref>S6:U11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844AC-58BE-4003-9203-34B5CB556CB9}">
  <dimension ref="A2:DJ21"/>
  <sheetViews>
    <sheetView showGridLines="0" zoomScale="49" zoomScaleNormal="49" workbookViewId="0">
      <pane xSplit="3" ySplit="6" topLeftCell="D7" activePane="bottomRight" state="frozen"/>
      <selection pane="topRight" activeCell="D1" sqref="D1"/>
      <selection pane="bottomLeft" activeCell="A7" sqref="A7"/>
      <selection pane="bottomRight" activeCell="F8" sqref="F8:W9"/>
    </sheetView>
  </sheetViews>
  <sheetFormatPr baseColWidth="10" defaultRowHeight="15.75" x14ac:dyDescent="0.25"/>
  <cols>
    <col min="1" max="1" width="25.375" style="8" customWidth="1"/>
    <col min="2" max="2" width="38.875" style="8" customWidth="1"/>
    <col min="3" max="3" width="20.5" style="8" customWidth="1"/>
    <col min="4" max="6" width="23.875" style="8" customWidth="1"/>
    <col min="7" max="7" width="22.625" style="8" customWidth="1"/>
    <col min="8" max="8" width="23" style="8" customWidth="1"/>
    <col min="9" max="9" width="22.625" style="8" customWidth="1"/>
    <col min="10" max="10" width="12.875" style="8" customWidth="1"/>
    <col min="11" max="11" width="12" style="8" customWidth="1"/>
    <col min="12" max="12" width="11.375" style="8" customWidth="1"/>
    <col min="13" max="13" width="9.625" style="8" customWidth="1"/>
    <col min="14" max="14" width="11.875" style="8" customWidth="1"/>
    <col min="15" max="15" width="10.625" style="8" customWidth="1"/>
    <col min="16" max="16" width="25.875" style="8" customWidth="1"/>
    <col min="17" max="17" width="27.875" style="8" customWidth="1"/>
    <col min="18" max="18" width="54.5" style="8" customWidth="1"/>
    <col min="19" max="19" width="14.625" style="8" customWidth="1"/>
    <col min="20" max="20" width="17.625" style="8" customWidth="1"/>
    <col min="21" max="21" width="27.75" style="8" customWidth="1"/>
    <col min="22" max="22" width="46.125" style="8" customWidth="1"/>
    <col min="23" max="23" width="56.25" style="8" customWidth="1"/>
  </cols>
  <sheetData>
    <row r="2" spans="1:114" s="9" customFormat="1" x14ac:dyDescent="0.25">
      <c r="A2" s="8"/>
      <c r="B2" s="8"/>
      <c r="C2" s="8"/>
      <c r="D2" s="8"/>
      <c r="E2" s="8"/>
      <c r="F2" s="8"/>
      <c r="G2" s="8"/>
      <c r="H2" s="8"/>
      <c r="I2" s="8"/>
      <c r="J2" s="8"/>
      <c r="K2" s="8"/>
      <c r="L2" s="8"/>
      <c r="M2" s="8"/>
      <c r="N2" s="8"/>
      <c r="O2" s="8"/>
      <c r="P2" s="8"/>
      <c r="Q2" s="8"/>
      <c r="R2" s="8"/>
      <c r="S2" s="8"/>
      <c r="T2" s="8"/>
      <c r="U2" s="8"/>
      <c r="V2" s="8"/>
      <c r="W2" s="8"/>
    </row>
    <row r="3" spans="1:114" s="77" customFormat="1" ht="19.5" x14ac:dyDescent="0.25">
      <c r="A3" s="103" t="s">
        <v>211</v>
      </c>
      <c r="B3" s="77" t="s">
        <v>27</v>
      </c>
      <c r="J3" s="104"/>
      <c r="K3" s="104"/>
      <c r="L3" s="104"/>
      <c r="M3" s="104"/>
      <c r="N3" s="104"/>
      <c r="O3" s="104"/>
      <c r="X3" s="91"/>
    </row>
    <row r="4" spans="1:114" s="9" customFormat="1" ht="19.5" x14ac:dyDescent="0.25">
      <c r="A4" s="110"/>
      <c r="B4" s="110"/>
      <c r="C4" s="110"/>
      <c r="D4" s="111"/>
      <c r="E4" s="111"/>
      <c r="F4" s="111"/>
      <c r="G4" s="111"/>
      <c r="H4" s="111"/>
      <c r="I4" s="111"/>
      <c r="J4" s="111"/>
      <c r="K4" s="111"/>
      <c r="L4" s="111"/>
      <c r="M4" s="111"/>
      <c r="N4" s="111"/>
      <c r="O4" s="111"/>
      <c r="P4" s="111"/>
      <c r="Q4" s="111"/>
      <c r="R4" s="111"/>
      <c r="S4" s="111"/>
      <c r="T4" s="111"/>
      <c r="U4" s="111"/>
      <c r="V4" s="111"/>
      <c r="W4" s="111"/>
      <c r="X4" s="95"/>
    </row>
    <row r="5" spans="1:114" s="3" customFormat="1" ht="84" customHeight="1" thickBot="1" x14ac:dyDescent="0.3">
      <c r="A5" s="323" t="s">
        <v>7</v>
      </c>
      <c r="B5" s="323" t="s">
        <v>19</v>
      </c>
      <c r="C5" s="323" t="s">
        <v>135</v>
      </c>
      <c r="D5" s="325" t="s">
        <v>10</v>
      </c>
      <c r="E5" s="325" t="s">
        <v>34</v>
      </c>
      <c r="F5" s="325"/>
      <c r="G5" s="325" t="s">
        <v>13</v>
      </c>
      <c r="H5" s="325" t="s">
        <v>16</v>
      </c>
      <c r="I5" s="325"/>
      <c r="J5" s="112" t="s">
        <v>136</v>
      </c>
      <c r="K5" s="323" t="s">
        <v>160</v>
      </c>
      <c r="L5" s="323"/>
      <c r="M5" s="323"/>
      <c r="N5" s="323"/>
      <c r="O5" s="323"/>
      <c r="P5" s="325" t="s">
        <v>102</v>
      </c>
      <c r="Q5" s="325" t="s">
        <v>0</v>
      </c>
      <c r="R5" s="325" t="s">
        <v>15</v>
      </c>
      <c r="S5" s="323" t="s">
        <v>18</v>
      </c>
      <c r="T5" s="323"/>
      <c r="U5" s="323"/>
      <c r="V5" s="323"/>
      <c r="W5" s="323"/>
      <c r="X5" s="96"/>
    </row>
    <row r="6" spans="1:114" s="3" customFormat="1" ht="47.25" customHeight="1" x14ac:dyDescent="0.25">
      <c r="A6" s="324"/>
      <c r="B6" s="324"/>
      <c r="C6" s="324"/>
      <c r="D6" s="326"/>
      <c r="E6" s="113" t="s">
        <v>11</v>
      </c>
      <c r="F6" s="113" t="s">
        <v>12</v>
      </c>
      <c r="G6" s="326"/>
      <c r="H6" s="113" t="s">
        <v>11</v>
      </c>
      <c r="I6" s="113" t="s">
        <v>12</v>
      </c>
      <c r="J6" s="114"/>
      <c r="K6" s="113">
        <v>2022</v>
      </c>
      <c r="L6" s="113">
        <v>2023</v>
      </c>
      <c r="M6" s="113">
        <v>2024</v>
      </c>
      <c r="N6" s="113">
        <v>2025</v>
      </c>
      <c r="O6" s="113">
        <v>2026</v>
      </c>
      <c r="P6" s="326"/>
      <c r="Q6" s="326"/>
      <c r="R6" s="326"/>
      <c r="S6" s="113" t="s">
        <v>52</v>
      </c>
      <c r="T6" s="113" t="s">
        <v>53</v>
      </c>
      <c r="U6" s="113" t="s">
        <v>54</v>
      </c>
      <c r="V6" s="113" t="s">
        <v>9</v>
      </c>
      <c r="W6" s="113" t="s">
        <v>50</v>
      </c>
      <c r="X6" s="96"/>
    </row>
    <row r="7" spans="1:114" s="1" customFormat="1" ht="317.45" customHeight="1" x14ac:dyDescent="0.25">
      <c r="A7" s="320" t="s">
        <v>285</v>
      </c>
      <c r="B7" s="320" t="s">
        <v>252</v>
      </c>
      <c r="C7" s="320" t="s">
        <v>3</v>
      </c>
      <c r="D7" s="129" t="s">
        <v>287</v>
      </c>
      <c r="E7" s="129" t="s">
        <v>286</v>
      </c>
      <c r="F7" s="129" t="s">
        <v>173</v>
      </c>
      <c r="G7" s="130" t="s">
        <v>289</v>
      </c>
      <c r="H7" s="130" t="s">
        <v>288</v>
      </c>
      <c r="I7" s="131" t="s">
        <v>290</v>
      </c>
      <c r="J7" s="118">
        <v>0</v>
      </c>
      <c r="K7" s="148"/>
      <c r="L7" s="132">
        <v>2</v>
      </c>
      <c r="M7" s="132">
        <v>3</v>
      </c>
      <c r="N7" s="132">
        <v>3</v>
      </c>
      <c r="O7" s="132">
        <v>2</v>
      </c>
      <c r="P7" s="149">
        <f>+((350+350))</f>
        <v>700</v>
      </c>
      <c r="Q7" s="117" t="s">
        <v>234</v>
      </c>
      <c r="R7" s="133" t="s">
        <v>302</v>
      </c>
      <c r="S7" s="134" t="s">
        <v>51</v>
      </c>
      <c r="T7" s="117" t="s">
        <v>55</v>
      </c>
      <c r="U7" s="117" t="s">
        <v>51</v>
      </c>
      <c r="V7" s="117" t="s">
        <v>225</v>
      </c>
      <c r="W7" s="117" t="s">
        <v>103</v>
      </c>
      <c r="X7" s="97"/>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row>
    <row r="8" spans="1:114" s="295" customFormat="1" ht="293.10000000000002" customHeight="1" x14ac:dyDescent="0.25">
      <c r="A8" s="321"/>
      <c r="B8" s="321"/>
      <c r="C8" s="321"/>
      <c r="D8" s="289"/>
      <c r="E8" s="289"/>
      <c r="F8" s="289"/>
      <c r="G8" s="290" t="s">
        <v>310</v>
      </c>
      <c r="H8" s="290" t="s">
        <v>307</v>
      </c>
      <c r="I8" s="290" t="s">
        <v>308</v>
      </c>
      <c r="J8" s="296">
        <v>0.47949999999999998</v>
      </c>
      <c r="K8" s="297">
        <v>0.7</v>
      </c>
      <c r="L8" s="297">
        <v>0.71</v>
      </c>
      <c r="M8" s="297">
        <v>0.72</v>
      </c>
      <c r="N8" s="297">
        <v>0.73</v>
      </c>
      <c r="O8" s="297">
        <v>0.74</v>
      </c>
      <c r="P8" s="291">
        <f>+(1857.67*5)</f>
        <v>9288.35</v>
      </c>
      <c r="Q8" s="292" t="s">
        <v>309</v>
      </c>
      <c r="R8" s="293" t="s">
        <v>316</v>
      </c>
      <c r="S8" s="292" t="s">
        <v>56</v>
      </c>
      <c r="T8" s="300" t="s">
        <v>55</v>
      </c>
      <c r="U8" s="300" t="s">
        <v>51</v>
      </c>
      <c r="V8" s="292" t="s">
        <v>314</v>
      </c>
      <c r="W8" s="292"/>
      <c r="X8" s="302"/>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c r="CW8" s="301"/>
      <c r="CX8" s="301"/>
      <c r="CY8" s="301"/>
      <c r="CZ8" s="301"/>
      <c r="DA8" s="301"/>
      <c r="DB8" s="301"/>
      <c r="DC8" s="301"/>
      <c r="DD8" s="301"/>
      <c r="DE8" s="301"/>
      <c r="DF8" s="301"/>
      <c r="DG8" s="301"/>
      <c r="DH8" s="301"/>
      <c r="DI8" s="301"/>
      <c r="DJ8" s="301"/>
    </row>
    <row r="9" spans="1:114" s="295" customFormat="1" ht="285" customHeight="1" x14ac:dyDescent="0.25">
      <c r="A9" s="321"/>
      <c r="B9" s="321"/>
      <c r="C9" s="321"/>
      <c r="D9" s="289"/>
      <c r="E9" s="289"/>
      <c r="F9" s="289"/>
      <c r="G9" s="290" t="s">
        <v>311</v>
      </c>
      <c r="H9" s="290" t="s">
        <v>318</v>
      </c>
      <c r="I9" s="290" t="s">
        <v>320</v>
      </c>
      <c r="J9" s="304" t="s">
        <v>317</v>
      </c>
      <c r="K9" s="304">
        <v>135</v>
      </c>
      <c r="L9" s="304">
        <v>185</v>
      </c>
      <c r="M9" s="304">
        <v>245</v>
      </c>
      <c r="N9" s="304">
        <v>255</v>
      </c>
      <c r="O9" s="304">
        <v>265</v>
      </c>
      <c r="P9" s="305">
        <v>33088.1</v>
      </c>
      <c r="Q9" s="292" t="s">
        <v>309</v>
      </c>
      <c r="R9" s="293" t="s">
        <v>319</v>
      </c>
      <c r="S9" s="303" t="s">
        <v>56</v>
      </c>
      <c r="T9" s="294" t="s">
        <v>55</v>
      </c>
      <c r="U9" s="294" t="s">
        <v>51</v>
      </c>
      <c r="V9" s="292" t="s">
        <v>315</v>
      </c>
      <c r="W9" s="292"/>
      <c r="X9" s="302"/>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c r="CW9" s="301"/>
      <c r="CX9" s="301"/>
      <c r="CY9" s="301"/>
      <c r="CZ9" s="301"/>
      <c r="DA9" s="301"/>
      <c r="DB9" s="301"/>
      <c r="DC9" s="301"/>
      <c r="DD9" s="301"/>
      <c r="DE9" s="301"/>
      <c r="DF9" s="301"/>
      <c r="DG9" s="301"/>
      <c r="DH9" s="301"/>
      <c r="DI9" s="301"/>
      <c r="DJ9" s="301"/>
    </row>
    <row r="10" spans="1:114" s="256" customFormat="1" ht="159.6" customHeight="1" x14ac:dyDescent="0.25">
      <c r="A10" s="321"/>
      <c r="B10" s="321"/>
      <c r="C10" s="321"/>
      <c r="D10" s="249"/>
      <c r="E10" s="249"/>
      <c r="F10" s="249"/>
      <c r="G10" s="130" t="s">
        <v>248</v>
      </c>
      <c r="H10" s="130" t="s">
        <v>245</v>
      </c>
      <c r="I10" s="130" t="s">
        <v>246</v>
      </c>
      <c r="J10" s="128">
        <v>0</v>
      </c>
      <c r="K10" s="250">
        <v>2</v>
      </c>
      <c r="L10" s="132">
        <v>2</v>
      </c>
      <c r="M10" s="132">
        <v>2</v>
      </c>
      <c r="N10" s="132">
        <v>2</v>
      </c>
      <c r="O10" s="132">
        <v>2</v>
      </c>
      <c r="P10" s="251">
        <f>178.829*5</f>
        <v>894.14499999999998</v>
      </c>
      <c r="Q10" s="155" t="s">
        <v>236</v>
      </c>
      <c r="R10" s="252" t="s">
        <v>247</v>
      </c>
      <c r="S10" s="253" t="s">
        <v>55</v>
      </c>
      <c r="T10" s="254" t="s">
        <v>57</v>
      </c>
      <c r="U10" s="116"/>
      <c r="V10" s="155" t="s">
        <v>244</v>
      </c>
      <c r="W10" s="155"/>
      <c r="X10" s="255"/>
    </row>
    <row r="11" spans="1:114" s="69" customFormat="1" ht="146.1" customHeight="1" x14ac:dyDescent="0.25">
      <c r="A11" s="321"/>
      <c r="B11" s="321"/>
      <c r="C11" s="321"/>
      <c r="D11" s="236" t="s">
        <v>179</v>
      </c>
      <c r="E11" s="236" t="s">
        <v>181</v>
      </c>
      <c r="F11" s="236" t="s">
        <v>180</v>
      </c>
      <c r="G11" s="122" t="s">
        <v>25</v>
      </c>
      <c r="H11" s="122" t="s">
        <v>26</v>
      </c>
      <c r="I11" s="122" t="s">
        <v>178</v>
      </c>
      <c r="J11" s="135">
        <f>165/625</f>
        <v>0.26400000000000001</v>
      </c>
      <c r="K11" s="136">
        <v>0.1</v>
      </c>
      <c r="L11" s="136">
        <v>0.1</v>
      </c>
      <c r="M11" s="136">
        <v>0.1</v>
      </c>
      <c r="N11" s="136">
        <v>0.1</v>
      </c>
      <c r="O11" s="136">
        <v>0.1</v>
      </c>
      <c r="P11" s="150">
        <v>121658.61010200001</v>
      </c>
      <c r="Q11" s="122" t="s">
        <v>118</v>
      </c>
      <c r="R11" s="122" t="s">
        <v>182</v>
      </c>
      <c r="S11" s="125" t="s">
        <v>51</v>
      </c>
      <c r="T11" s="125" t="s">
        <v>55</v>
      </c>
      <c r="U11" s="125" t="s">
        <v>57</v>
      </c>
      <c r="V11" s="122" t="s">
        <v>202</v>
      </c>
      <c r="W11" s="122" t="s">
        <v>203</v>
      </c>
      <c r="X11" s="97"/>
    </row>
    <row r="12" spans="1:114" s="1" customFormat="1" ht="282" customHeight="1" x14ac:dyDescent="0.25">
      <c r="A12" s="321"/>
      <c r="B12" s="321"/>
      <c r="C12" s="321"/>
      <c r="D12" s="234"/>
      <c r="E12" s="234"/>
      <c r="F12" s="234"/>
      <c r="G12" s="137" t="s">
        <v>228</v>
      </c>
      <c r="H12" s="138" t="s">
        <v>167</v>
      </c>
      <c r="I12" s="138" t="s">
        <v>156</v>
      </c>
      <c r="J12" s="139">
        <v>0</v>
      </c>
      <c r="K12" s="140"/>
      <c r="L12" s="141">
        <v>0.5</v>
      </c>
      <c r="M12" s="141">
        <v>0.3</v>
      </c>
      <c r="N12" s="141">
        <v>0.2</v>
      </c>
      <c r="O12" s="141"/>
      <c r="P12" s="151">
        <v>24</v>
      </c>
      <c r="Q12" s="138" t="s">
        <v>104</v>
      </c>
      <c r="R12" s="142" t="s">
        <v>233</v>
      </c>
      <c r="S12" s="138" t="s">
        <v>55</v>
      </c>
      <c r="T12" s="138" t="s">
        <v>51</v>
      </c>
      <c r="U12" s="138" t="s">
        <v>164</v>
      </c>
      <c r="V12" s="126" t="s">
        <v>226</v>
      </c>
      <c r="W12" s="138" t="s">
        <v>235</v>
      </c>
      <c r="X12" s="97"/>
    </row>
    <row r="13" spans="1:114" s="1" customFormat="1" ht="165" customHeight="1" x14ac:dyDescent="0.25">
      <c r="A13" s="322"/>
      <c r="B13" s="322"/>
      <c r="C13" s="322"/>
      <c r="D13" s="235"/>
      <c r="E13" s="235"/>
      <c r="F13" s="235"/>
      <c r="G13" s="143"/>
      <c r="H13" s="144" t="s">
        <v>165</v>
      </c>
      <c r="I13" s="144" t="s">
        <v>200</v>
      </c>
      <c r="J13" s="145">
        <v>0</v>
      </c>
      <c r="K13" s="146"/>
      <c r="L13" s="147"/>
      <c r="M13" s="152"/>
      <c r="N13" s="152"/>
      <c r="O13" s="153">
        <v>0.3</v>
      </c>
      <c r="P13" s="151">
        <f>+(2.599*5)</f>
        <v>12.995000000000001</v>
      </c>
      <c r="Q13" s="138" t="s">
        <v>142</v>
      </c>
      <c r="R13" s="122" t="s">
        <v>201</v>
      </c>
      <c r="S13" s="138" t="s">
        <v>55</v>
      </c>
      <c r="T13" s="138" t="s">
        <v>51</v>
      </c>
      <c r="U13" s="138"/>
      <c r="V13" s="126" t="s">
        <v>227</v>
      </c>
      <c r="W13" s="138" t="s">
        <v>169</v>
      </c>
      <c r="X13" s="97"/>
    </row>
    <row r="14" spans="1:114" ht="18" x14ac:dyDescent="0.25">
      <c r="A14" s="94"/>
      <c r="B14" s="94"/>
      <c r="C14" s="94"/>
      <c r="D14" s="94"/>
      <c r="E14" s="94"/>
      <c r="F14" s="94"/>
      <c r="G14" s="94"/>
      <c r="H14" s="94"/>
      <c r="I14" s="94"/>
      <c r="J14" s="94"/>
      <c r="K14" s="94"/>
      <c r="L14" s="94"/>
      <c r="M14" s="94"/>
      <c r="N14" s="94"/>
      <c r="O14" s="94"/>
      <c r="P14" s="237">
        <f>SUM(P7:P13)</f>
        <v>165666.200102</v>
      </c>
      <c r="Q14" s="94"/>
      <c r="R14" s="94"/>
      <c r="S14" s="94"/>
      <c r="T14" s="94"/>
      <c r="U14" s="94"/>
      <c r="V14" s="94"/>
      <c r="W14" s="94"/>
      <c r="X14" s="45"/>
    </row>
    <row r="15" spans="1:114" x14ac:dyDescent="0.25">
      <c r="A15" s="94"/>
      <c r="B15" s="94"/>
      <c r="C15" s="94"/>
      <c r="D15" s="94"/>
      <c r="E15" s="94"/>
      <c r="F15" s="94"/>
      <c r="G15" s="94"/>
      <c r="H15" s="94"/>
      <c r="I15" s="94"/>
      <c r="J15" s="94"/>
      <c r="K15" s="94"/>
      <c r="L15" s="94"/>
      <c r="M15" s="94"/>
      <c r="N15" s="94"/>
      <c r="O15" s="94"/>
      <c r="P15" s="94"/>
      <c r="Q15" s="94"/>
      <c r="R15" s="94"/>
      <c r="S15" s="94"/>
      <c r="T15" s="94"/>
      <c r="U15" s="94"/>
      <c r="V15" s="94"/>
      <c r="W15" s="94"/>
      <c r="X15" s="45"/>
    </row>
    <row r="16" spans="1:114" x14ac:dyDescent="0.25">
      <c r="A16" s="94"/>
      <c r="B16" s="94"/>
      <c r="C16" s="94"/>
      <c r="D16" s="94"/>
      <c r="E16" s="94"/>
      <c r="F16" s="94"/>
      <c r="G16" s="94"/>
      <c r="H16" s="94"/>
      <c r="I16" s="94"/>
      <c r="J16" s="94"/>
      <c r="K16" s="94"/>
      <c r="L16" s="94"/>
      <c r="M16" s="94"/>
      <c r="N16" s="94"/>
      <c r="O16" s="94"/>
      <c r="P16" s="94"/>
      <c r="Q16" s="94"/>
      <c r="R16" s="94"/>
      <c r="S16" s="94"/>
      <c r="T16" s="94"/>
      <c r="U16" s="94"/>
      <c r="V16" s="94"/>
      <c r="W16" s="94"/>
      <c r="X16" s="45"/>
    </row>
    <row r="17" spans="1:24" x14ac:dyDescent="0.25">
      <c r="A17" s="94"/>
      <c r="B17" s="94"/>
      <c r="C17" s="94"/>
      <c r="D17" s="94"/>
      <c r="E17" s="94"/>
      <c r="F17" s="94"/>
      <c r="G17" s="94"/>
      <c r="H17" s="94"/>
      <c r="I17" s="94"/>
      <c r="J17" s="94"/>
      <c r="K17" s="94"/>
      <c r="L17" s="94"/>
      <c r="M17" s="94"/>
      <c r="N17" s="94"/>
      <c r="O17" s="94"/>
      <c r="P17" s="94"/>
      <c r="Q17" s="94"/>
      <c r="R17" s="94"/>
      <c r="S17" s="94"/>
      <c r="T17" s="94"/>
      <c r="U17" s="94"/>
      <c r="V17" s="94"/>
      <c r="W17" s="94"/>
      <c r="X17" s="45"/>
    </row>
    <row r="18" spans="1:24" x14ac:dyDescent="0.25">
      <c r="A18" s="94"/>
      <c r="B18" s="94"/>
      <c r="C18" s="94"/>
      <c r="D18" s="94"/>
      <c r="E18" s="94"/>
      <c r="F18" s="94"/>
      <c r="G18" s="94"/>
      <c r="H18" s="94"/>
      <c r="I18" s="94"/>
      <c r="J18" s="94"/>
      <c r="K18" s="94"/>
      <c r="L18" s="94"/>
      <c r="M18" s="94"/>
      <c r="N18" s="94"/>
      <c r="O18" s="94"/>
      <c r="P18" s="94"/>
      <c r="Q18" s="94"/>
      <c r="R18" s="94"/>
      <c r="S18" s="94"/>
      <c r="T18" s="94"/>
      <c r="U18" s="94"/>
      <c r="V18" s="94"/>
      <c r="W18" s="94"/>
      <c r="X18" s="45"/>
    </row>
    <row r="19" spans="1:24" x14ac:dyDescent="0.25">
      <c r="A19" s="94"/>
      <c r="B19" s="94"/>
      <c r="C19" s="94"/>
      <c r="D19" s="94"/>
      <c r="E19" s="94"/>
      <c r="F19" s="94"/>
      <c r="G19" s="94"/>
      <c r="H19" s="94"/>
      <c r="I19" s="94"/>
      <c r="J19" s="94"/>
      <c r="K19" s="94"/>
      <c r="L19" s="94"/>
      <c r="M19" s="94"/>
      <c r="N19" s="94"/>
      <c r="O19" s="94"/>
      <c r="P19" s="94"/>
      <c r="Q19" s="94"/>
      <c r="R19" s="94"/>
      <c r="S19" s="94"/>
      <c r="T19" s="94"/>
      <c r="U19" s="94"/>
      <c r="V19" s="94"/>
      <c r="W19" s="94"/>
      <c r="X19" s="45"/>
    </row>
    <row r="20" spans="1:24" x14ac:dyDescent="0.25">
      <c r="A20" s="94"/>
      <c r="B20" s="94"/>
      <c r="C20" s="94"/>
      <c r="D20" s="94"/>
      <c r="E20" s="94"/>
      <c r="F20" s="94"/>
      <c r="G20" s="94"/>
      <c r="H20" s="94"/>
      <c r="I20" s="94"/>
      <c r="J20" s="94"/>
      <c r="K20" s="94"/>
      <c r="L20" s="94"/>
      <c r="M20" s="94"/>
      <c r="N20" s="94"/>
      <c r="O20" s="94"/>
      <c r="P20" s="94"/>
      <c r="Q20" s="94"/>
      <c r="R20" s="94"/>
      <c r="S20" s="94"/>
      <c r="T20" s="94"/>
      <c r="U20" s="94"/>
      <c r="V20" s="94"/>
      <c r="W20" s="94"/>
      <c r="X20" s="45"/>
    </row>
    <row r="21" spans="1:24" x14ac:dyDescent="0.25">
      <c r="A21" s="94"/>
      <c r="B21" s="94"/>
      <c r="C21" s="94"/>
      <c r="D21" s="94"/>
      <c r="E21" s="94"/>
      <c r="F21" s="94"/>
      <c r="G21" s="94"/>
      <c r="H21" s="94"/>
      <c r="I21" s="94"/>
      <c r="J21" s="94"/>
      <c r="K21" s="94"/>
      <c r="L21" s="94"/>
      <c r="M21" s="94"/>
      <c r="N21" s="94"/>
      <c r="O21" s="94"/>
      <c r="P21" s="94"/>
      <c r="Q21" s="94"/>
      <c r="R21" s="94"/>
      <c r="S21" s="94"/>
      <c r="T21" s="94"/>
      <c r="U21" s="94"/>
      <c r="V21" s="94"/>
      <c r="W21" s="94"/>
      <c r="X21" s="45"/>
    </row>
  </sheetData>
  <mergeCells count="15">
    <mergeCell ref="S5:W5"/>
    <mergeCell ref="P5:P6"/>
    <mergeCell ref="Q5:Q6"/>
    <mergeCell ref="B5:B6"/>
    <mergeCell ref="K5:O5"/>
    <mergeCell ref="A7:A13"/>
    <mergeCell ref="B7:B13"/>
    <mergeCell ref="C7:C13"/>
    <mergeCell ref="A5:A6"/>
    <mergeCell ref="R5:R6"/>
    <mergeCell ref="H5:I5"/>
    <mergeCell ref="E5:F5"/>
    <mergeCell ref="D5:D6"/>
    <mergeCell ref="G5:G6"/>
    <mergeCell ref="C5:C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F71C85-1FBE-4386-A7CB-0807E4CBC9AC}">
          <x14:formula1>
            <xm:f>'Lista de Riesgos'!$B$3:$B$15</xm:f>
          </x14:formula1>
          <xm:sqref>S7:U13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6BECE-97C5-4E21-8502-C7B38D3B0B73}">
  <dimension ref="A1:AB37"/>
  <sheetViews>
    <sheetView showGridLines="0" tabSelected="1" zoomScale="59" zoomScaleNormal="59" workbookViewId="0">
      <pane xSplit="2" ySplit="6" topLeftCell="H10" activePane="bottomRight" state="frozen"/>
      <selection pane="topRight" activeCell="C1" sqref="C1"/>
      <selection pane="bottomLeft" activeCell="A7" sqref="A7"/>
      <selection pane="bottomRight" activeCell="K11" sqref="K11"/>
    </sheetView>
  </sheetViews>
  <sheetFormatPr baseColWidth="10" defaultRowHeight="15.75" x14ac:dyDescent="0.25"/>
  <cols>
    <col min="1" max="1" width="25.375" customWidth="1"/>
    <col min="2" max="2" width="41.375" customWidth="1"/>
    <col min="3" max="3" width="30.75" customWidth="1"/>
    <col min="4" max="4" width="29.5" customWidth="1"/>
    <col min="5" max="5" width="23.125" customWidth="1"/>
    <col min="6" max="6" width="26.375" customWidth="1"/>
    <col min="7" max="7" width="27.375" customWidth="1"/>
    <col min="8" max="8" width="34.625" customWidth="1"/>
    <col min="9" max="9" width="27.875" customWidth="1"/>
    <col min="10" max="10" width="21.625" style="6" hidden="1" customWidth="1"/>
    <col min="11" max="15" width="8.125" style="6" bestFit="1" customWidth="1"/>
    <col min="16" max="16" width="38.5" bestFit="1" customWidth="1"/>
    <col min="17" max="17" width="32.625" customWidth="1"/>
    <col min="18" max="18" width="38.5" customWidth="1"/>
    <col min="19" max="19" width="20.875" customWidth="1"/>
    <col min="20" max="20" width="19" customWidth="1"/>
    <col min="21" max="21" width="21.875" customWidth="1"/>
    <col min="22" max="22" width="21.75" customWidth="1"/>
    <col min="23" max="23" width="42.875" customWidth="1"/>
  </cols>
  <sheetData>
    <row r="1" spans="1:28" ht="12.6" customHeight="1" x14ac:dyDescent="0.25"/>
    <row r="2" spans="1:28" ht="12.6" customHeight="1" x14ac:dyDescent="0.25"/>
    <row r="3" spans="1:28" s="77" customFormat="1" ht="19.5" x14ac:dyDescent="0.25">
      <c r="A3" s="103" t="s">
        <v>211</v>
      </c>
      <c r="B3" s="77" t="s">
        <v>217</v>
      </c>
      <c r="J3" s="104"/>
      <c r="K3" s="104"/>
      <c r="L3" s="104"/>
      <c r="M3" s="104"/>
      <c r="N3" s="104"/>
      <c r="O3" s="104"/>
      <c r="X3" s="91"/>
      <c r="Y3" s="91"/>
      <c r="Z3" s="91"/>
      <c r="AA3" s="91"/>
      <c r="AB3" s="91"/>
    </row>
    <row r="4" spans="1:28" ht="16.5" customHeight="1" thickBot="1" x14ac:dyDescent="0.4">
      <c r="A4" s="178"/>
      <c r="B4" s="178"/>
      <c r="C4" s="178"/>
      <c r="D4" s="178"/>
      <c r="E4" s="178"/>
      <c r="F4" s="178"/>
      <c r="G4" s="178"/>
      <c r="H4" s="178"/>
      <c r="I4" s="178"/>
      <c r="J4" s="179"/>
      <c r="K4" s="179"/>
      <c r="L4" s="179"/>
      <c r="M4" s="179"/>
      <c r="N4" s="179"/>
      <c r="O4" s="179"/>
      <c r="P4" s="178"/>
      <c r="Q4" s="178"/>
      <c r="R4" s="178"/>
      <c r="S4" s="178"/>
      <c r="T4" s="178"/>
      <c r="U4" s="178"/>
      <c r="V4" s="178"/>
      <c r="W4" s="178"/>
      <c r="X4" s="45"/>
      <c r="Y4" s="45"/>
      <c r="Z4" s="45"/>
      <c r="AA4" s="45"/>
      <c r="AB4" s="45"/>
    </row>
    <row r="5" spans="1:28" s="3" customFormat="1" ht="32.1" customHeight="1" thickTop="1" thickBot="1" x14ac:dyDescent="0.3">
      <c r="A5" s="315" t="s">
        <v>7</v>
      </c>
      <c r="B5" s="310" t="s">
        <v>19</v>
      </c>
      <c r="C5" s="310" t="s">
        <v>135</v>
      </c>
      <c r="D5" s="308" t="s">
        <v>10</v>
      </c>
      <c r="E5" s="317" t="s">
        <v>34</v>
      </c>
      <c r="F5" s="317"/>
      <c r="G5" s="308" t="s">
        <v>13</v>
      </c>
      <c r="H5" s="308" t="s">
        <v>16</v>
      </c>
      <c r="I5" s="308"/>
      <c r="J5" s="180" t="s">
        <v>136</v>
      </c>
      <c r="K5" s="332" t="s">
        <v>160</v>
      </c>
      <c r="L5" s="333"/>
      <c r="M5" s="333"/>
      <c r="N5" s="333"/>
      <c r="O5" s="333"/>
      <c r="P5" s="308" t="s">
        <v>102</v>
      </c>
      <c r="Q5" s="308" t="s">
        <v>0</v>
      </c>
      <c r="R5" s="308" t="s">
        <v>15</v>
      </c>
      <c r="S5" s="310" t="s">
        <v>18</v>
      </c>
      <c r="T5" s="310"/>
      <c r="U5" s="310"/>
      <c r="V5" s="310"/>
      <c r="W5" s="310"/>
      <c r="X5" s="96"/>
      <c r="Y5" s="96"/>
      <c r="Z5" s="96"/>
      <c r="AA5" s="96"/>
      <c r="AB5" s="96"/>
    </row>
    <row r="6" spans="1:28" s="3" customFormat="1" ht="41.25" customHeight="1" thickBot="1" x14ac:dyDescent="0.3">
      <c r="A6" s="329"/>
      <c r="B6" s="331"/>
      <c r="C6" s="331"/>
      <c r="D6" s="330"/>
      <c r="E6" s="106" t="s">
        <v>11</v>
      </c>
      <c r="F6" s="106" t="s">
        <v>12</v>
      </c>
      <c r="G6" s="309"/>
      <c r="H6" s="107" t="s">
        <v>11</v>
      </c>
      <c r="I6" s="107" t="s">
        <v>12</v>
      </c>
      <c r="J6" s="181"/>
      <c r="K6" s="108">
        <v>2022</v>
      </c>
      <c r="L6" s="108">
        <v>2023</v>
      </c>
      <c r="M6" s="108">
        <v>2024</v>
      </c>
      <c r="N6" s="108">
        <v>2025</v>
      </c>
      <c r="O6" s="108">
        <v>2026</v>
      </c>
      <c r="P6" s="309"/>
      <c r="Q6" s="309"/>
      <c r="R6" s="309"/>
      <c r="S6" s="107" t="s">
        <v>52</v>
      </c>
      <c r="T6" s="107" t="s">
        <v>53</v>
      </c>
      <c r="U6" s="107" t="s">
        <v>54</v>
      </c>
      <c r="V6" s="107" t="s">
        <v>9</v>
      </c>
      <c r="W6" s="107" t="s">
        <v>50</v>
      </c>
      <c r="X6" s="96"/>
      <c r="Y6" s="96"/>
      <c r="Z6" s="96"/>
      <c r="AA6" s="96"/>
      <c r="AB6" s="96"/>
    </row>
    <row r="7" spans="1:28" s="4" customFormat="1" ht="225.6" customHeight="1" thickTop="1" x14ac:dyDescent="0.25">
      <c r="A7" s="125" t="s">
        <v>291</v>
      </c>
      <c r="B7" s="125" t="s">
        <v>175</v>
      </c>
      <c r="C7" s="125" t="s">
        <v>222</v>
      </c>
      <c r="D7" s="122" t="s">
        <v>32</v>
      </c>
      <c r="E7" s="122" t="s">
        <v>176</v>
      </c>
      <c r="F7" s="122" t="s">
        <v>177</v>
      </c>
      <c r="G7" s="122" t="s">
        <v>28</v>
      </c>
      <c r="H7" s="155" t="s">
        <v>101</v>
      </c>
      <c r="I7" s="125" t="s">
        <v>154</v>
      </c>
      <c r="J7" s="156">
        <v>0</v>
      </c>
      <c r="K7" s="157">
        <v>0.25</v>
      </c>
      <c r="L7" s="157">
        <v>0.25</v>
      </c>
      <c r="M7" s="157">
        <v>0.25</v>
      </c>
      <c r="N7" s="157">
        <v>0.25</v>
      </c>
      <c r="O7" s="128"/>
      <c r="P7" s="182">
        <f>(7221062.88275862*4)/1000000</f>
        <v>28.884251531034479</v>
      </c>
      <c r="Q7" s="158" t="s">
        <v>100</v>
      </c>
      <c r="R7" s="122" t="s">
        <v>305</v>
      </c>
      <c r="S7" s="125" t="s">
        <v>55</v>
      </c>
      <c r="T7" s="125" t="s">
        <v>51</v>
      </c>
      <c r="U7" s="125"/>
      <c r="V7" s="159" t="s">
        <v>59</v>
      </c>
      <c r="W7" s="160"/>
      <c r="X7" s="98"/>
      <c r="Y7" s="98"/>
      <c r="Z7" s="98"/>
      <c r="AA7" s="98"/>
      <c r="AB7" s="98"/>
    </row>
    <row r="8" spans="1:28" s="4" customFormat="1" ht="125.1" customHeight="1" x14ac:dyDescent="0.25">
      <c r="A8" s="116"/>
      <c r="B8" s="116"/>
      <c r="C8" s="161"/>
      <c r="D8" s="115" t="s">
        <v>292</v>
      </c>
      <c r="E8" s="116" t="s">
        <v>121</v>
      </c>
      <c r="F8" s="116" t="s">
        <v>61</v>
      </c>
      <c r="G8" s="162" t="s">
        <v>137</v>
      </c>
      <c r="H8" s="116" t="s">
        <v>189</v>
      </c>
      <c r="I8" s="163" t="s">
        <v>153</v>
      </c>
      <c r="J8" s="164">
        <v>0</v>
      </c>
      <c r="K8" s="135">
        <v>0.30952380952380953</v>
      </c>
      <c r="L8" s="164">
        <v>0.29761904761904762</v>
      </c>
      <c r="M8" s="164">
        <v>0.23809523809523808</v>
      </c>
      <c r="N8" s="164">
        <v>0.15476190476190477</v>
      </c>
      <c r="O8" s="165"/>
      <c r="P8" s="182">
        <f>36364541*4/1000000</f>
        <v>145.45816400000001</v>
      </c>
      <c r="Q8" s="122" t="s">
        <v>119</v>
      </c>
      <c r="R8" s="144" t="s">
        <v>223</v>
      </c>
      <c r="S8" s="125" t="s">
        <v>55</v>
      </c>
      <c r="T8" s="125" t="s">
        <v>51</v>
      </c>
      <c r="U8" s="125"/>
      <c r="V8" s="116" t="s">
        <v>204</v>
      </c>
      <c r="W8" s="116" t="s">
        <v>205</v>
      </c>
      <c r="X8" s="98"/>
      <c r="Y8" s="98"/>
      <c r="Z8" s="98"/>
      <c r="AA8" s="98"/>
      <c r="AB8" s="98"/>
    </row>
    <row r="9" spans="1:28" s="4" customFormat="1" ht="151.5" customHeight="1" x14ac:dyDescent="0.25">
      <c r="A9" s="116"/>
      <c r="B9" s="116"/>
      <c r="C9" s="161"/>
      <c r="D9" s="115"/>
      <c r="E9" s="116"/>
      <c r="F9" s="161"/>
      <c r="G9" s="125" t="s">
        <v>229</v>
      </c>
      <c r="H9" s="166" t="s">
        <v>138</v>
      </c>
      <c r="I9" s="122" t="s">
        <v>155</v>
      </c>
      <c r="J9" s="164">
        <v>0</v>
      </c>
      <c r="K9" s="165">
        <v>0.3</v>
      </c>
      <c r="L9" s="165">
        <v>0.7</v>
      </c>
      <c r="M9" s="165"/>
      <c r="N9" s="165"/>
      <c r="O9" s="177"/>
      <c r="P9" s="182">
        <f>2880000*2/1000000</f>
        <v>5.76</v>
      </c>
      <c r="Q9" s="122" t="s">
        <v>139</v>
      </c>
      <c r="R9" s="144" t="s">
        <v>193</v>
      </c>
      <c r="S9" s="163" t="s">
        <v>55</v>
      </c>
      <c r="T9" s="167"/>
      <c r="U9" s="167"/>
      <c r="V9" s="122" t="s">
        <v>206</v>
      </c>
      <c r="W9" s="168"/>
      <c r="X9" s="98"/>
      <c r="Y9" s="98"/>
      <c r="Z9" s="98"/>
      <c r="AA9" s="98"/>
      <c r="AB9" s="98"/>
    </row>
    <row r="10" spans="1:28" s="4" customFormat="1" ht="124.5" customHeight="1" x14ac:dyDescent="0.25">
      <c r="A10" s="116"/>
      <c r="B10" s="116"/>
      <c r="C10" s="161"/>
      <c r="D10" s="116"/>
      <c r="E10" s="116"/>
      <c r="F10" s="161"/>
      <c r="G10" s="155"/>
      <c r="H10" s="166" t="s">
        <v>183</v>
      </c>
      <c r="I10" s="122" t="s">
        <v>158</v>
      </c>
      <c r="J10" s="164">
        <v>0</v>
      </c>
      <c r="K10" s="165"/>
      <c r="L10" s="165"/>
      <c r="M10" s="165">
        <v>0.33329999999999999</v>
      </c>
      <c r="N10" s="165">
        <v>0.33</v>
      </c>
      <c r="O10" s="165">
        <v>0.33</v>
      </c>
      <c r="P10" s="182">
        <f>2880000*2/1000000</f>
        <v>5.76</v>
      </c>
      <c r="Q10" s="122" t="s">
        <v>293</v>
      </c>
      <c r="R10" s="144" t="s">
        <v>159</v>
      </c>
      <c r="S10" s="125" t="s">
        <v>55</v>
      </c>
      <c r="T10" s="125" t="s">
        <v>51</v>
      </c>
      <c r="U10" s="125"/>
      <c r="V10" s="116" t="s">
        <v>204</v>
      </c>
      <c r="W10" s="169"/>
      <c r="X10" s="98"/>
      <c r="Y10" s="98"/>
      <c r="Z10" s="98"/>
      <c r="AA10" s="98"/>
      <c r="AB10" s="98"/>
    </row>
    <row r="11" spans="1:28" s="288" customFormat="1" ht="124.5" customHeight="1" x14ac:dyDescent="0.25">
      <c r="A11" s="278"/>
      <c r="B11" s="278"/>
      <c r="C11" s="279"/>
      <c r="D11" s="278"/>
      <c r="E11" s="278"/>
      <c r="F11" s="279"/>
      <c r="G11" s="281" t="s">
        <v>313</v>
      </c>
      <c r="H11" s="280" t="s">
        <v>306</v>
      </c>
      <c r="I11" s="281" t="s">
        <v>158</v>
      </c>
      <c r="J11" s="282">
        <v>0</v>
      </c>
      <c r="K11" s="283"/>
      <c r="L11" s="283"/>
      <c r="M11" s="283"/>
      <c r="N11" s="283"/>
      <c r="O11" s="283"/>
      <c r="P11" s="284"/>
      <c r="Q11" s="281" t="s">
        <v>321</v>
      </c>
      <c r="R11" s="281"/>
      <c r="S11" s="285"/>
      <c r="T11" s="285"/>
      <c r="U11" s="285"/>
      <c r="V11" s="278"/>
      <c r="W11" s="286"/>
      <c r="X11" s="287"/>
      <c r="Y11" s="287"/>
      <c r="Z11" s="287"/>
      <c r="AA11" s="287"/>
      <c r="AB11" s="287"/>
    </row>
    <row r="12" spans="1:28" s="4" customFormat="1" ht="288" x14ac:dyDescent="0.25">
      <c r="A12" s="116"/>
      <c r="B12" s="116"/>
      <c r="C12" s="161"/>
      <c r="D12" s="116"/>
      <c r="E12" s="116"/>
      <c r="F12" s="161"/>
      <c r="G12" s="116" t="s">
        <v>237</v>
      </c>
      <c r="H12" s="122" t="s">
        <v>324</v>
      </c>
      <c r="I12" s="144" t="s">
        <v>185</v>
      </c>
      <c r="J12" s="353">
        <v>0</v>
      </c>
      <c r="K12" s="136">
        <v>0.2</v>
      </c>
      <c r="L12" s="136">
        <v>0.25</v>
      </c>
      <c r="M12" s="136">
        <v>0.4</v>
      </c>
      <c r="N12" s="136">
        <v>0.15</v>
      </c>
      <c r="O12" s="147"/>
      <c r="P12" s="150">
        <f>4738822.51681034/1000000</f>
        <v>4.7388225168103402</v>
      </c>
      <c r="Q12" s="144" t="s">
        <v>122</v>
      </c>
      <c r="R12" s="144" t="s">
        <v>322</v>
      </c>
      <c r="S12" s="163" t="s">
        <v>55</v>
      </c>
      <c r="T12" s="163" t="s">
        <v>51</v>
      </c>
      <c r="U12" s="167"/>
      <c r="V12" s="327" t="s">
        <v>207</v>
      </c>
      <c r="W12" s="327" t="s">
        <v>208</v>
      </c>
      <c r="X12" s="98"/>
      <c r="Y12" s="98"/>
      <c r="Z12" s="98"/>
      <c r="AA12" s="98"/>
      <c r="AB12" s="98"/>
    </row>
    <row r="13" spans="1:28" s="4" customFormat="1" ht="124.5" customHeight="1" x14ac:dyDescent="0.25">
      <c r="A13" s="116"/>
      <c r="B13" s="116"/>
      <c r="C13" s="161"/>
      <c r="D13" s="116"/>
      <c r="E13" s="116"/>
      <c r="F13" s="161"/>
      <c r="G13" s="155"/>
      <c r="H13" s="122" t="s">
        <v>323</v>
      </c>
      <c r="I13" s="144" t="s">
        <v>184</v>
      </c>
      <c r="J13" s="353">
        <v>0</v>
      </c>
      <c r="K13" s="354"/>
      <c r="L13" s="354"/>
      <c r="M13" s="136">
        <v>0.5</v>
      </c>
      <c r="N13" s="136">
        <v>0.5</v>
      </c>
      <c r="O13" s="354"/>
      <c r="P13" s="150">
        <f>4738822.51681034/1000000</f>
        <v>4.7388225168103402</v>
      </c>
      <c r="Q13" s="144" t="s">
        <v>122</v>
      </c>
      <c r="R13" s="144" t="s">
        <v>192</v>
      </c>
      <c r="S13" s="125" t="s">
        <v>55</v>
      </c>
      <c r="T13" s="125"/>
      <c r="U13" s="125"/>
      <c r="V13" s="328"/>
      <c r="W13" s="328"/>
      <c r="X13" s="98"/>
      <c r="Y13" s="98"/>
      <c r="Z13" s="98"/>
      <c r="AA13" s="98"/>
      <c r="AB13" s="98"/>
    </row>
    <row r="14" spans="1:28" s="4" customFormat="1" ht="249.95" customHeight="1" x14ac:dyDescent="0.25">
      <c r="A14" s="116"/>
      <c r="B14" s="116"/>
      <c r="C14" s="170"/>
      <c r="D14" s="155"/>
      <c r="E14" s="155"/>
      <c r="F14" s="155"/>
      <c r="G14" s="171" t="s">
        <v>58</v>
      </c>
      <c r="H14" s="122" t="s">
        <v>60</v>
      </c>
      <c r="I14" s="155" t="s">
        <v>186</v>
      </c>
      <c r="J14" s="135">
        <v>0.2142</v>
      </c>
      <c r="K14" s="164">
        <v>0.51851851851851849</v>
      </c>
      <c r="L14" s="164">
        <v>0.48148148148148145</v>
      </c>
      <c r="M14" s="165"/>
      <c r="N14" s="165"/>
      <c r="O14" s="165"/>
      <c r="P14" s="182">
        <f>(155698670+8706589*2)/1000000</f>
        <v>173.11184800000001</v>
      </c>
      <c r="Q14" s="123" t="s">
        <v>120</v>
      </c>
      <c r="R14" s="144" t="s">
        <v>224</v>
      </c>
      <c r="S14" s="159" t="s">
        <v>55</v>
      </c>
      <c r="T14" s="159" t="s">
        <v>51</v>
      </c>
      <c r="U14" s="125"/>
      <c r="V14" s="172" t="s">
        <v>190</v>
      </c>
      <c r="W14" s="173" t="s">
        <v>191</v>
      </c>
      <c r="X14" s="98"/>
      <c r="Y14" s="98"/>
      <c r="Z14" s="98"/>
      <c r="AA14" s="98"/>
      <c r="AB14" s="98"/>
    </row>
    <row r="15" spans="1:28" s="5" customFormat="1" ht="138.6" customHeight="1" x14ac:dyDescent="0.25">
      <c r="A15" s="174"/>
      <c r="B15" s="174"/>
      <c r="C15" s="116"/>
      <c r="D15" s="116" t="s">
        <v>62</v>
      </c>
      <c r="E15" s="130" t="s">
        <v>294</v>
      </c>
      <c r="F15" s="175" t="s">
        <v>140</v>
      </c>
      <c r="G15" s="130" t="s">
        <v>131</v>
      </c>
      <c r="H15" s="130" t="s">
        <v>304</v>
      </c>
      <c r="I15" s="122" t="s">
        <v>185</v>
      </c>
      <c r="J15" s="135">
        <v>0</v>
      </c>
      <c r="K15" s="136">
        <v>0.5</v>
      </c>
      <c r="L15" s="145" t="s">
        <v>132</v>
      </c>
      <c r="M15" s="136">
        <v>0.2</v>
      </c>
      <c r="N15" s="147"/>
      <c r="O15" s="147"/>
      <c r="P15" s="182">
        <f>9720000*3/1000000</f>
        <v>29.16</v>
      </c>
      <c r="Q15" s="144" t="s">
        <v>141</v>
      </c>
      <c r="R15" s="144" t="s">
        <v>187</v>
      </c>
      <c r="S15" s="163" t="s">
        <v>55</v>
      </c>
      <c r="T15" s="163" t="s">
        <v>51</v>
      </c>
      <c r="U15" s="163"/>
      <c r="V15" s="176"/>
      <c r="W15" s="176"/>
      <c r="X15" s="99"/>
      <c r="Y15" s="99"/>
      <c r="Z15" s="99"/>
      <c r="AA15" s="99"/>
      <c r="AB15" s="99"/>
    </row>
    <row r="16" spans="1:28" s="5" customFormat="1" ht="236.1" customHeight="1" x14ac:dyDescent="0.25">
      <c r="A16" s="174"/>
      <c r="B16" s="144" t="s">
        <v>298</v>
      </c>
      <c r="C16" s="144" t="s">
        <v>295</v>
      </c>
      <c r="D16" s="144" t="s">
        <v>239</v>
      </c>
      <c r="E16" s="130" t="s">
        <v>301</v>
      </c>
      <c r="F16" s="130" t="s">
        <v>241</v>
      </c>
      <c r="G16" s="130" t="s">
        <v>251</v>
      </c>
      <c r="H16" s="130" t="s">
        <v>253</v>
      </c>
      <c r="I16" s="144" t="s">
        <v>254</v>
      </c>
      <c r="J16" s="135">
        <v>0</v>
      </c>
      <c r="K16" s="136">
        <v>0.75</v>
      </c>
      <c r="L16" s="136">
        <v>0.1</v>
      </c>
      <c r="M16" s="136">
        <v>0.1</v>
      </c>
      <c r="N16" s="136">
        <v>0.05</v>
      </c>
      <c r="O16" s="136"/>
      <c r="P16" s="150">
        <f>11*5</f>
        <v>55</v>
      </c>
      <c r="Q16" s="144" t="s">
        <v>240</v>
      </c>
      <c r="R16" s="144" t="s">
        <v>300</v>
      </c>
      <c r="S16" s="163" t="s">
        <v>164</v>
      </c>
      <c r="T16" s="163" t="s">
        <v>56</v>
      </c>
      <c r="U16" s="163" t="s">
        <v>55</v>
      </c>
      <c r="V16" s="176"/>
      <c r="W16" s="176"/>
      <c r="X16" s="99"/>
      <c r="Y16" s="99"/>
      <c r="Z16" s="99"/>
      <c r="AA16" s="99"/>
      <c r="AB16" s="99"/>
    </row>
    <row r="17" spans="1:28" s="4" customFormat="1" ht="409.5" x14ac:dyDescent="0.25">
      <c r="A17" s="122" t="s">
        <v>232</v>
      </c>
      <c r="B17" s="122" t="s">
        <v>296</v>
      </c>
      <c r="C17" s="122" t="s">
        <v>231</v>
      </c>
      <c r="D17" s="122" t="s">
        <v>33</v>
      </c>
      <c r="E17" s="130" t="s">
        <v>188</v>
      </c>
      <c r="F17" s="130" t="s">
        <v>63</v>
      </c>
      <c r="G17" s="122" t="s">
        <v>21</v>
      </c>
      <c r="H17" s="122" t="s">
        <v>22</v>
      </c>
      <c r="I17" s="122" t="s">
        <v>157</v>
      </c>
      <c r="J17" s="177">
        <v>0</v>
      </c>
      <c r="K17" s="177">
        <v>1</v>
      </c>
      <c r="L17" s="177">
        <v>1</v>
      </c>
      <c r="M17" s="177">
        <v>1</v>
      </c>
      <c r="N17" s="177">
        <v>1</v>
      </c>
      <c r="O17" s="177">
        <v>2</v>
      </c>
      <c r="P17" s="182">
        <f>1000+275.39+525.82+500+1000*5+1200*5</f>
        <v>13301.21</v>
      </c>
      <c r="Q17" s="144" t="s">
        <v>230</v>
      </c>
      <c r="R17" s="269" t="s">
        <v>303</v>
      </c>
      <c r="S17" s="122" t="s">
        <v>55</v>
      </c>
      <c r="T17" s="122" t="s">
        <v>56</v>
      </c>
      <c r="U17" s="122" t="s">
        <v>51</v>
      </c>
      <c r="V17" s="122" t="s">
        <v>202</v>
      </c>
      <c r="W17" s="169"/>
      <c r="X17" s="98"/>
      <c r="Y17" s="98"/>
      <c r="Z17" s="98"/>
      <c r="AA17" s="98"/>
      <c r="AB17" s="98"/>
    </row>
    <row r="18" spans="1:28" s="71" customFormat="1" x14ac:dyDescent="0.25">
      <c r="A18" s="98"/>
      <c r="B18" s="98"/>
      <c r="C18" s="98"/>
      <c r="D18" s="98"/>
      <c r="E18" s="98"/>
      <c r="F18" s="98"/>
      <c r="G18" s="98"/>
      <c r="H18" s="98"/>
      <c r="I18" s="98"/>
      <c r="J18" s="100"/>
      <c r="K18" s="100"/>
      <c r="L18" s="100"/>
      <c r="M18" s="100"/>
      <c r="N18" s="100"/>
      <c r="O18" s="100"/>
      <c r="P18" s="101">
        <f>SUM(P7:P17)</f>
        <v>13753.821908564654</v>
      </c>
      <c r="Q18" s="98"/>
      <c r="R18" s="98"/>
      <c r="S18" s="98"/>
      <c r="T18" s="98"/>
      <c r="U18" s="98"/>
      <c r="V18" s="98"/>
      <c r="W18" s="98"/>
      <c r="X18" s="98"/>
      <c r="Y18" s="98"/>
      <c r="Z18" s="98"/>
      <c r="AA18" s="98"/>
      <c r="AB18" s="98"/>
    </row>
    <row r="19" spans="1:28" s="71" customFormat="1" x14ac:dyDescent="0.25">
      <c r="A19" s="98"/>
      <c r="B19" s="98"/>
      <c r="C19" s="98"/>
      <c r="D19" s="98"/>
      <c r="E19" s="98"/>
      <c r="F19" s="98"/>
      <c r="G19" s="98"/>
      <c r="H19" s="98"/>
      <c r="I19" s="98"/>
      <c r="J19" s="100"/>
      <c r="K19" s="100"/>
      <c r="L19" s="100"/>
      <c r="M19" s="100"/>
      <c r="N19" s="100"/>
      <c r="O19" s="100"/>
      <c r="P19" s="102"/>
      <c r="Q19" s="98"/>
      <c r="R19" s="98"/>
      <c r="S19" s="98"/>
      <c r="T19" s="98"/>
      <c r="U19" s="98"/>
      <c r="V19" s="98"/>
      <c r="W19" s="98"/>
      <c r="X19" s="98"/>
      <c r="Y19" s="98"/>
      <c r="Z19" s="98"/>
      <c r="AA19" s="98"/>
      <c r="AB19" s="98"/>
    </row>
    <row r="20" spans="1:28" s="71" customFormat="1" x14ac:dyDescent="0.25">
      <c r="A20" s="98"/>
      <c r="B20" s="98"/>
      <c r="C20" s="98"/>
      <c r="D20" s="98"/>
      <c r="E20" s="98"/>
      <c r="F20" s="98"/>
      <c r="G20" s="98"/>
      <c r="H20" s="98"/>
      <c r="I20" s="98"/>
      <c r="J20" s="100"/>
      <c r="K20" s="100"/>
      <c r="L20" s="100"/>
      <c r="M20" s="100"/>
      <c r="N20" s="100"/>
      <c r="O20" s="100"/>
      <c r="P20" s="102"/>
      <c r="Q20" s="98"/>
      <c r="R20" s="98"/>
      <c r="S20" s="98"/>
      <c r="T20" s="98"/>
      <c r="U20" s="98"/>
      <c r="V20" s="98"/>
      <c r="W20" s="98"/>
      <c r="X20" s="98"/>
      <c r="Y20" s="98"/>
      <c r="Z20" s="98"/>
      <c r="AA20" s="98"/>
      <c r="AB20" s="98"/>
    </row>
    <row r="21" spans="1:28" s="71" customFormat="1" x14ac:dyDescent="0.25">
      <c r="A21" s="98"/>
      <c r="B21" s="98"/>
      <c r="C21" s="98"/>
      <c r="D21" s="98"/>
      <c r="E21" s="98"/>
      <c r="F21" s="98"/>
      <c r="G21" s="98"/>
      <c r="H21" s="98"/>
      <c r="I21" s="98"/>
      <c r="J21" s="100"/>
      <c r="K21" s="100"/>
      <c r="L21" s="100"/>
      <c r="M21" s="100"/>
      <c r="N21" s="100"/>
      <c r="O21" s="100"/>
      <c r="P21" s="102"/>
      <c r="Q21" s="98"/>
      <c r="R21" s="98"/>
      <c r="S21" s="98"/>
      <c r="T21" s="98"/>
      <c r="U21" s="98"/>
      <c r="V21" s="98"/>
      <c r="W21" s="98"/>
      <c r="X21" s="98"/>
      <c r="Y21" s="98"/>
      <c r="Z21" s="98"/>
      <c r="AA21" s="98"/>
      <c r="AB21" s="98"/>
    </row>
    <row r="22" spans="1:28" s="71" customFormat="1" x14ac:dyDescent="0.25">
      <c r="A22" s="98"/>
      <c r="B22" s="98"/>
      <c r="C22" s="98"/>
      <c r="D22" s="98"/>
      <c r="E22" s="98"/>
      <c r="F22" s="98"/>
      <c r="G22" s="98"/>
      <c r="H22" s="98"/>
      <c r="I22" s="98"/>
      <c r="J22" s="100"/>
      <c r="K22" s="100"/>
      <c r="L22" s="100"/>
      <c r="M22" s="100"/>
      <c r="N22" s="100"/>
      <c r="O22" s="100"/>
      <c r="P22" s="102"/>
      <c r="Q22" s="98"/>
      <c r="R22" s="98"/>
      <c r="S22" s="98"/>
      <c r="T22" s="98"/>
      <c r="U22" s="98"/>
      <c r="V22" s="98"/>
      <c r="W22" s="98"/>
      <c r="X22" s="98"/>
      <c r="Y22" s="98"/>
      <c r="Z22" s="98"/>
      <c r="AA22" s="98"/>
      <c r="AB22" s="98"/>
    </row>
    <row r="23" spans="1:28" s="71" customFormat="1" x14ac:dyDescent="0.25">
      <c r="J23" s="72"/>
      <c r="K23" s="72"/>
      <c r="L23" s="72"/>
      <c r="M23" s="72"/>
      <c r="N23" s="72"/>
      <c r="O23" s="72"/>
      <c r="P23" s="73"/>
    </row>
    <row r="24" spans="1:28" x14ac:dyDescent="0.25">
      <c r="P24" s="70"/>
    </row>
    <row r="25" spans="1:28" x14ac:dyDescent="0.25">
      <c r="P25" s="70"/>
    </row>
    <row r="26" spans="1:28" x14ac:dyDescent="0.25">
      <c r="P26" s="70"/>
    </row>
    <row r="27" spans="1:28" x14ac:dyDescent="0.25">
      <c r="P27" s="70"/>
    </row>
    <row r="28" spans="1:28" x14ac:dyDescent="0.25">
      <c r="P28" s="70"/>
    </row>
    <row r="29" spans="1:28" x14ac:dyDescent="0.25">
      <c r="P29" s="70"/>
    </row>
    <row r="30" spans="1:28" x14ac:dyDescent="0.25">
      <c r="P30" s="70"/>
    </row>
    <row r="31" spans="1:28" x14ac:dyDescent="0.25">
      <c r="P31" s="70"/>
    </row>
    <row r="32" spans="1:28" x14ac:dyDescent="0.25">
      <c r="P32" s="70"/>
    </row>
    <row r="33" spans="16:16" x14ac:dyDescent="0.25">
      <c r="P33" s="70"/>
    </row>
    <row r="34" spans="16:16" x14ac:dyDescent="0.25">
      <c r="P34" s="70"/>
    </row>
    <row r="35" spans="16:16" x14ac:dyDescent="0.25">
      <c r="P35" s="70"/>
    </row>
    <row r="36" spans="16:16" x14ac:dyDescent="0.25">
      <c r="P36" s="70"/>
    </row>
    <row r="37" spans="16:16" x14ac:dyDescent="0.25">
      <c r="P37" s="70"/>
    </row>
  </sheetData>
  <mergeCells count="14">
    <mergeCell ref="W12:W13"/>
    <mergeCell ref="V12:V13"/>
    <mergeCell ref="S5:W5"/>
    <mergeCell ref="R5:R6"/>
    <mergeCell ref="A5:A6"/>
    <mergeCell ref="D5:D6"/>
    <mergeCell ref="P5:P6"/>
    <mergeCell ref="Q5:Q6"/>
    <mergeCell ref="B5:B6"/>
    <mergeCell ref="C5:C6"/>
    <mergeCell ref="G5:G6"/>
    <mergeCell ref="H5:I5"/>
    <mergeCell ref="E5:F5"/>
    <mergeCell ref="K5:O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4AB005-44B4-4A64-85F1-98854F20308B}">
          <x14:formula1>
            <xm:f>'Lista de Riesgos'!$B$3:$B$15</xm:f>
          </x14:formula1>
          <xm:sqref>S7:U17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85B2-0CBD-4B5E-A95A-E9457A7DE49D}">
  <dimension ref="D4:E13"/>
  <sheetViews>
    <sheetView showGridLines="0" topLeftCell="A10" workbookViewId="0">
      <selection activeCell="E11" sqref="E11"/>
    </sheetView>
  </sheetViews>
  <sheetFormatPr baseColWidth="10" defaultRowHeight="15.75" x14ac:dyDescent="0.25"/>
  <cols>
    <col min="4" max="4" width="45.375" customWidth="1"/>
    <col min="5" max="5" width="24.875" customWidth="1"/>
  </cols>
  <sheetData>
    <row r="4" spans="4:5" ht="19.5" x14ac:dyDescent="0.25">
      <c r="D4" s="334" t="s">
        <v>210</v>
      </c>
      <c r="E4" s="334"/>
    </row>
    <row r="5" spans="4:5" ht="19.5" x14ac:dyDescent="0.25">
      <c r="D5" s="334" t="s">
        <v>212</v>
      </c>
      <c r="E5" s="334"/>
    </row>
    <row r="6" spans="4:5" ht="19.5" x14ac:dyDescent="0.25">
      <c r="D6" s="334" t="s">
        <v>219</v>
      </c>
      <c r="E6" s="334"/>
    </row>
    <row r="7" spans="4:5" ht="19.5" x14ac:dyDescent="0.25">
      <c r="D7" s="334" t="s">
        <v>214</v>
      </c>
      <c r="E7" s="334"/>
    </row>
    <row r="8" spans="4:5" ht="29.25" x14ac:dyDescent="0.25">
      <c r="D8" s="74" t="s">
        <v>209</v>
      </c>
      <c r="E8" s="75" t="s">
        <v>105</v>
      </c>
    </row>
    <row r="9" spans="4:5" ht="46.5" customHeight="1" x14ac:dyDescent="0.25">
      <c r="D9" s="80" t="s">
        <v>1</v>
      </c>
      <c r="E9" s="78">
        <f>+'Eje No 1'!P12</f>
        <v>21355.149999999998</v>
      </c>
    </row>
    <row r="10" spans="4:5" ht="45" customHeight="1" x14ac:dyDescent="0.25">
      <c r="D10" s="80" t="s">
        <v>27</v>
      </c>
      <c r="E10" s="78">
        <f>+'Eje No 2'!P14</f>
        <v>165666.200102</v>
      </c>
    </row>
    <row r="11" spans="4:5" ht="36.6" customHeight="1" thickBot="1" x14ac:dyDescent="0.3">
      <c r="D11" s="80" t="s">
        <v>174</v>
      </c>
      <c r="E11" s="78">
        <f>+'Eje No 3'!P18</f>
        <v>13753.821908564654</v>
      </c>
    </row>
    <row r="12" spans="4:5" ht="18.75" thickBot="1" x14ac:dyDescent="0.3">
      <c r="D12" s="76" t="s">
        <v>85</v>
      </c>
      <c r="E12" s="79">
        <f>SUM(E9:E11)</f>
        <v>200775.17201056465</v>
      </c>
    </row>
    <row r="13" spans="4:5" x14ac:dyDescent="0.25">
      <c r="D13" s="81" t="s">
        <v>213</v>
      </c>
    </row>
  </sheetData>
  <mergeCells count="4">
    <mergeCell ref="D4:E4"/>
    <mergeCell ref="D5:E5"/>
    <mergeCell ref="D6:E6"/>
    <mergeCell ref="D7:E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43FE-43D3-425B-B025-26092298FE70}">
  <dimension ref="B1:J8"/>
  <sheetViews>
    <sheetView showGridLines="0" zoomScale="77" zoomScaleNormal="77" workbookViewId="0">
      <selection activeCell="H6" sqref="H6"/>
    </sheetView>
  </sheetViews>
  <sheetFormatPr baseColWidth="10" defaultRowHeight="15.75" x14ac:dyDescent="0.25"/>
  <cols>
    <col min="2" max="2" width="32" customWidth="1"/>
    <col min="4" max="4" width="16.875" customWidth="1"/>
    <col min="6" max="6" width="12.875" customWidth="1"/>
    <col min="7" max="7" width="15.125" customWidth="1"/>
    <col min="8" max="8" width="12.75" customWidth="1"/>
  </cols>
  <sheetData>
    <row r="1" spans="2:10" ht="19.5" x14ac:dyDescent="0.25">
      <c r="B1" s="334" t="s">
        <v>210</v>
      </c>
      <c r="C1" s="334"/>
      <c r="D1" s="334"/>
      <c r="E1" s="334"/>
      <c r="F1" s="334"/>
      <c r="G1" s="334"/>
      <c r="H1" s="334"/>
      <c r="I1" s="334"/>
    </row>
    <row r="2" spans="2:10" ht="19.5" x14ac:dyDescent="0.25">
      <c r="B2" s="334" t="s">
        <v>212</v>
      </c>
      <c r="C2" s="334"/>
      <c r="D2" s="334"/>
      <c r="E2" s="334"/>
      <c r="F2" s="334"/>
      <c r="G2" s="334"/>
      <c r="H2" s="334"/>
      <c r="I2" s="334"/>
    </row>
    <row r="3" spans="2:10" ht="19.5" x14ac:dyDescent="0.25">
      <c r="B3" s="335" t="s">
        <v>214</v>
      </c>
      <c r="C3" s="335"/>
      <c r="D3" s="335"/>
      <c r="E3" s="335"/>
      <c r="F3" s="335"/>
      <c r="G3" s="335"/>
      <c r="H3" s="335"/>
      <c r="I3" s="335"/>
    </row>
    <row r="4" spans="2:10" ht="45" x14ac:dyDescent="0.25">
      <c r="B4" s="83" t="s">
        <v>6</v>
      </c>
      <c r="C4" s="84" t="s">
        <v>7</v>
      </c>
      <c r="D4" s="84" t="s">
        <v>19</v>
      </c>
      <c r="E4" s="84" t="s">
        <v>135</v>
      </c>
      <c r="F4" s="84" t="s">
        <v>10</v>
      </c>
      <c r="G4" s="84" t="s">
        <v>34</v>
      </c>
      <c r="H4" s="84" t="s">
        <v>16</v>
      </c>
      <c r="I4" s="84" t="s">
        <v>160</v>
      </c>
    </row>
    <row r="5" spans="2:10" s="82" customFormat="1" ht="45" x14ac:dyDescent="0.25">
      <c r="B5" s="85" t="s">
        <v>215</v>
      </c>
      <c r="C5" s="86">
        <v>1</v>
      </c>
      <c r="D5" s="86">
        <v>3</v>
      </c>
      <c r="E5" s="86">
        <v>4</v>
      </c>
      <c r="F5" s="86">
        <v>4</v>
      </c>
      <c r="G5" s="86">
        <v>4</v>
      </c>
      <c r="H5" s="86">
        <v>6</v>
      </c>
      <c r="I5" s="86">
        <v>21</v>
      </c>
    </row>
    <row r="6" spans="2:10" ht="60" x14ac:dyDescent="0.25">
      <c r="B6" s="87" t="s">
        <v>216</v>
      </c>
      <c r="C6" s="88">
        <v>1</v>
      </c>
      <c r="D6" s="88">
        <v>1</v>
      </c>
      <c r="E6" s="88">
        <v>1</v>
      </c>
      <c r="F6" s="88">
        <v>2</v>
      </c>
      <c r="G6" s="88">
        <v>2</v>
      </c>
      <c r="H6" s="298">
        <v>7</v>
      </c>
      <c r="I6" s="299">
        <v>28</v>
      </c>
      <c r="J6" s="1" t="s">
        <v>312</v>
      </c>
    </row>
    <row r="7" spans="2:10" ht="45" x14ac:dyDescent="0.25">
      <c r="B7" s="87" t="s">
        <v>218</v>
      </c>
      <c r="C7" s="88">
        <v>2</v>
      </c>
      <c r="D7" s="88">
        <v>3</v>
      </c>
      <c r="E7" s="88">
        <v>3</v>
      </c>
      <c r="F7" s="88">
        <v>5</v>
      </c>
      <c r="G7" s="88">
        <v>5</v>
      </c>
      <c r="H7" s="298">
        <v>10</v>
      </c>
      <c r="I7" s="299">
        <v>33</v>
      </c>
      <c r="J7" s="1" t="s">
        <v>312</v>
      </c>
    </row>
    <row r="8" spans="2:10" x14ac:dyDescent="0.25">
      <c r="B8" s="89" t="s">
        <v>85</v>
      </c>
      <c r="C8" s="90">
        <f>SUM(C5:C7)</f>
        <v>4</v>
      </c>
      <c r="D8" s="90">
        <f t="shared" ref="D8:I8" si="0">SUM(D5:D7)</f>
        <v>7</v>
      </c>
      <c r="E8" s="90">
        <f t="shared" si="0"/>
        <v>8</v>
      </c>
      <c r="F8" s="90">
        <f t="shared" si="0"/>
        <v>11</v>
      </c>
      <c r="G8" s="90">
        <f t="shared" si="0"/>
        <v>11</v>
      </c>
      <c r="H8" s="90">
        <f t="shared" si="0"/>
        <v>23</v>
      </c>
      <c r="I8" s="90">
        <f t="shared" si="0"/>
        <v>82</v>
      </c>
    </row>
  </sheetData>
  <mergeCells count="3">
    <mergeCell ref="B1:I1"/>
    <mergeCell ref="B2:I2"/>
    <mergeCell ref="B3: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C5F8-B74C-4F0E-96AB-1502280CF45E}">
  <dimension ref="A2:O58"/>
  <sheetViews>
    <sheetView showGridLines="0" topLeftCell="A38" zoomScale="87" zoomScaleNormal="87" workbookViewId="0">
      <selection activeCell="D48" sqref="D48"/>
    </sheetView>
  </sheetViews>
  <sheetFormatPr baseColWidth="10" defaultRowHeight="15.75" x14ac:dyDescent="0.25"/>
  <cols>
    <col min="3" max="3" width="19.5" customWidth="1"/>
    <col min="4" max="4" width="22" bestFit="1" customWidth="1"/>
    <col min="5" max="5" width="23.875" customWidth="1"/>
    <col min="6" max="6" width="16" customWidth="1"/>
    <col min="7" max="7" width="16.875" customWidth="1"/>
    <col min="8" max="8" width="18.25" customWidth="1"/>
    <col min="9" max="9" width="19.5" customWidth="1"/>
    <col min="10" max="10" width="11.25" bestFit="1" customWidth="1"/>
    <col min="11" max="11" width="17.625" customWidth="1"/>
    <col min="12" max="12" width="19.125" customWidth="1"/>
    <col min="13" max="13" width="12.625" customWidth="1"/>
    <col min="14" max="14" width="20.5" customWidth="1"/>
  </cols>
  <sheetData>
    <row r="2" spans="1:15" s="1" customFormat="1" ht="26.45" customHeight="1" x14ac:dyDescent="0.25">
      <c r="A2" s="183"/>
      <c r="B2" s="341" t="s">
        <v>66</v>
      </c>
      <c r="C2" s="341"/>
      <c r="D2" s="336" t="s">
        <v>78</v>
      </c>
      <c r="E2" s="336"/>
      <c r="F2" s="336"/>
      <c r="G2" s="336"/>
      <c r="H2" s="336"/>
      <c r="I2" s="336"/>
      <c r="J2" s="336"/>
      <c r="K2" s="336"/>
      <c r="L2" s="336"/>
      <c r="M2" s="336"/>
      <c r="N2" s="336"/>
      <c r="O2" s="183"/>
    </row>
    <row r="3" spans="1:15" ht="30.95" customHeight="1" x14ac:dyDescent="0.25">
      <c r="A3" s="184"/>
      <c r="B3" s="341"/>
      <c r="C3" s="341"/>
      <c r="D3" s="185" t="s">
        <v>76</v>
      </c>
      <c r="E3" s="185" t="s">
        <v>75</v>
      </c>
      <c r="F3" s="185" t="s">
        <v>84</v>
      </c>
      <c r="G3" s="185" t="s">
        <v>77</v>
      </c>
      <c r="H3" s="185" t="s">
        <v>95</v>
      </c>
      <c r="I3" s="185" t="s">
        <v>96</v>
      </c>
      <c r="J3" s="185" t="s">
        <v>79</v>
      </c>
      <c r="K3" s="185" t="s">
        <v>80</v>
      </c>
      <c r="L3" s="185" t="s">
        <v>81</v>
      </c>
      <c r="M3" s="185" t="s">
        <v>82</v>
      </c>
      <c r="N3" s="185" t="s">
        <v>85</v>
      </c>
      <c r="O3" s="184"/>
    </row>
    <row r="4" spans="1:15" ht="18" x14ac:dyDescent="0.25">
      <c r="A4" s="184"/>
      <c r="B4" s="343" t="s">
        <v>67</v>
      </c>
      <c r="C4" s="343"/>
      <c r="D4" s="186">
        <f>(8*6)*E20</f>
        <v>269415.40000000002</v>
      </c>
      <c r="E4" s="186">
        <f>+(8*6)*H24</f>
        <v>124771.20000000001</v>
      </c>
      <c r="F4" s="187"/>
      <c r="G4" s="188">
        <f>+(8*6)*F29</f>
        <v>12916.666666666668</v>
      </c>
      <c r="H4" s="188">
        <f>+(8*6)*F34</f>
        <v>1092.0333333333333</v>
      </c>
      <c r="I4" s="188">
        <f>+(8*6)*F39</f>
        <v>448.7166666666667</v>
      </c>
      <c r="J4" s="189"/>
      <c r="K4" s="189"/>
      <c r="L4" s="189"/>
      <c r="M4" s="189"/>
      <c r="N4" s="190">
        <f>SUM(D4:M4)</f>
        <v>408644.01666666672</v>
      </c>
      <c r="O4" s="184"/>
    </row>
    <row r="5" spans="1:15" ht="18" x14ac:dyDescent="0.25">
      <c r="A5" s="184"/>
      <c r="B5" s="343" t="s">
        <v>68</v>
      </c>
      <c r="C5" s="343"/>
      <c r="D5" s="186">
        <f>(8*6)*E20</f>
        <v>269415.40000000002</v>
      </c>
      <c r="E5" s="186">
        <f>+(8*6)*H24</f>
        <v>124771.20000000001</v>
      </c>
      <c r="F5" s="187"/>
      <c r="G5" s="188">
        <f>+(8*6)*F29</f>
        <v>12916.666666666668</v>
      </c>
      <c r="H5" s="188">
        <f>+(8*6)*F34</f>
        <v>1092.0333333333333</v>
      </c>
      <c r="I5" s="188">
        <f>+(8*6)*F39</f>
        <v>448.7166666666667</v>
      </c>
      <c r="J5" s="189"/>
      <c r="K5" s="189"/>
      <c r="L5" s="189"/>
      <c r="M5" s="189"/>
      <c r="N5" s="190">
        <f>SUM(D5:M5)</f>
        <v>408644.01666666672</v>
      </c>
      <c r="O5" s="184"/>
    </row>
    <row r="6" spans="1:15" ht="18" x14ac:dyDescent="0.25">
      <c r="A6" s="184"/>
      <c r="B6" s="343" t="s">
        <v>69</v>
      </c>
      <c r="C6" s="343"/>
      <c r="D6" s="186">
        <f>(8*6)*E20</f>
        <v>269415.40000000002</v>
      </c>
      <c r="E6" s="186">
        <f>+(8*6)*H24</f>
        <v>124771.20000000001</v>
      </c>
      <c r="F6" s="187"/>
      <c r="G6" s="188">
        <f>+(8*6)*F29</f>
        <v>12916.666666666668</v>
      </c>
      <c r="H6" s="188">
        <f>+(8*6)*F34</f>
        <v>1092.0333333333333</v>
      </c>
      <c r="I6" s="188">
        <f>+(8*6)*F39</f>
        <v>448.7166666666667</v>
      </c>
      <c r="J6" s="189"/>
      <c r="K6" s="189"/>
      <c r="L6" s="189"/>
      <c r="M6" s="189"/>
      <c r="N6" s="190">
        <f t="shared" ref="N6:N8" si="0">SUM(D6:M6)</f>
        <v>408644.01666666672</v>
      </c>
      <c r="O6" s="184"/>
    </row>
    <row r="7" spans="1:15" ht="18" x14ac:dyDescent="0.25">
      <c r="A7" s="184"/>
      <c r="B7" s="343" t="s">
        <v>70</v>
      </c>
      <c r="C7" s="343"/>
      <c r="D7" s="186">
        <f>(8*6)*E20</f>
        <v>269415.40000000002</v>
      </c>
      <c r="E7" s="186">
        <f>+(8*6)*H24</f>
        <v>124771.20000000001</v>
      </c>
      <c r="F7" s="187"/>
      <c r="G7" s="188">
        <f>+(8*6)*F29</f>
        <v>12916.666666666668</v>
      </c>
      <c r="H7" s="188">
        <f>+(8*6)*F34</f>
        <v>1092.0333333333333</v>
      </c>
      <c r="I7" s="188">
        <f>+(8*6)*F39</f>
        <v>448.7166666666667</v>
      </c>
      <c r="J7" s="189"/>
      <c r="K7" s="189"/>
      <c r="L7" s="189"/>
      <c r="M7" s="189"/>
      <c r="N7" s="190">
        <f t="shared" si="0"/>
        <v>408644.01666666672</v>
      </c>
      <c r="O7" s="184"/>
    </row>
    <row r="8" spans="1:15" ht="18" x14ac:dyDescent="0.25">
      <c r="A8" s="184"/>
      <c r="B8" s="337" t="s">
        <v>83</v>
      </c>
      <c r="C8" s="338"/>
      <c r="D8" s="189">
        <v>0</v>
      </c>
      <c r="E8" s="187">
        <v>0</v>
      </c>
      <c r="F8" s="191">
        <v>0</v>
      </c>
      <c r="G8" s="191">
        <v>0</v>
      </c>
      <c r="H8" s="191">
        <v>0</v>
      </c>
      <c r="I8" s="191">
        <v>0</v>
      </c>
      <c r="J8" s="189"/>
      <c r="K8" s="189"/>
      <c r="L8" s="189"/>
      <c r="M8" s="189"/>
      <c r="N8" s="190">
        <f t="shared" si="0"/>
        <v>0</v>
      </c>
      <c r="O8" s="184"/>
    </row>
    <row r="9" spans="1:15" ht="18" x14ac:dyDescent="0.25">
      <c r="A9" s="184"/>
      <c r="B9" s="339" t="s">
        <v>85</v>
      </c>
      <c r="C9" s="340"/>
      <c r="D9" s="192">
        <f>SUM(D4:D8)</f>
        <v>1077661.6000000001</v>
      </c>
      <c r="E9" s="192">
        <f t="shared" ref="E9:I9" si="1">SUM(E4:E8)</f>
        <v>499084.80000000005</v>
      </c>
      <c r="F9" s="192">
        <f t="shared" si="1"/>
        <v>0</v>
      </c>
      <c r="G9" s="192">
        <f t="shared" si="1"/>
        <v>51666.666666666672</v>
      </c>
      <c r="H9" s="192">
        <f t="shared" si="1"/>
        <v>4368.1333333333332</v>
      </c>
      <c r="I9" s="192">
        <f t="shared" si="1"/>
        <v>1794.8666666666668</v>
      </c>
      <c r="J9" s="193"/>
      <c r="K9" s="193"/>
      <c r="L9" s="193"/>
      <c r="M9" s="193"/>
      <c r="N9" s="192">
        <f>SUM(D9:M9)</f>
        <v>1634576.0666666669</v>
      </c>
      <c r="O9" s="184"/>
    </row>
    <row r="10" spans="1:15" ht="18" x14ac:dyDescent="0.25">
      <c r="A10" s="184"/>
      <c r="B10" s="194"/>
      <c r="C10" s="194"/>
      <c r="D10" s="195"/>
      <c r="E10" s="196"/>
      <c r="F10" s="196"/>
      <c r="G10" s="195"/>
      <c r="H10" s="195"/>
      <c r="I10" s="195"/>
      <c r="J10" s="195"/>
      <c r="K10" s="195"/>
      <c r="L10" s="195"/>
      <c r="M10" s="195"/>
      <c r="N10" s="195"/>
      <c r="O10" s="184"/>
    </row>
    <row r="11" spans="1:15" ht="18" x14ac:dyDescent="0.25">
      <c r="A11" s="184"/>
      <c r="B11" s="194" t="s">
        <v>66</v>
      </c>
      <c r="C11" s="194"/>
      <c r="D11" s="197">
        <f>+N9</f>
        <v>1634576.0666666669</v>
      </c>
      <c r="E11" s="196"/>
      <c r="F11" s="196"/>
      <c r="G11" s="195"/>
      <c r="H11" s="195"/>
      <c r="I11" s="195"/>
      <c r="J11" s="195"/>
      <c r="K11" s="195"/>
      <c r="L11" s="195"/>
      <c r="M11" s="195"/>
      <c r="N11" s="195"/>
      <c r="O11" s="184"/>
    </row>
    <row r="12" spans="1:15" ht="18" x14ac:dyDescent="0.25">
      <c r="A12" s="184"/>
      <c r="B12" s="342" t="s">
        <v>71</v>
      </c>
      <c r="C12" s="342"/>
      <c r="D12" s="184"/>
      <c r="E12" s="198"/>
      <c r="F12" s="198"/>
      <c r="G12" s="184"/>
      <c r="H12" s="184"/>
      <c r="I12" s="184"/>
      <c r="J12" s="184"/>
      <c r="K12" s="184"/>
      <c r="L12" s="184"/>
      <c r="M12" s="184"/>
      <c r="N12" s="184"/>
      <c r="O12" s="184"/>
    </row>
    <row r="13" spans="1:15" ht="18" x14ac:dyDescent="0.25">
      <c r="A13" s="184"/>
      <c r="B13" s="184" t="s">
        <v>72</v>
      </c>
      <c r="C13" s="184"/>
      <c r="D13" s="199">
        <f>+N50</f>
        <v>2911864.1</v>
      </c>
      <c r="E13" s="198"/>
      <c r="F13" s="184"/>
      <c r="G13" s="184"/>
      <c r="H13" s="184"/>
      <c r="I13" s="184"/>
      <c r="J13" s="184"/>
      <c r="K13" s="184"/>
      <c r="L13" s="184"/>
      <c r="M13" s="184"/>
      <c r="N13" s="184"/>
      <c r="O13" s="184"/>
    </row>
    <row r="14" spans="1:15" ht="18" x14ac:dyDescent="0.25">
      <c r="A14" s="184"/>
      <c r="B14" s="184" t="s">
        <v>73</v>
      </c>
      <c r="C14" s="184"/>
      <c r="D14" s="186">
        <v>40000000</v>
      </c>
      <c r="E14" s="198"/>
      <c r="F14" s="184"/>
      <c r="G14" s="184"/>
      <c r="H14" s="184"/>
      <c r="I14" s="184"/>
      <c r="J14" s="184"/>
      <c r="K14" s="184"/>
      <c r="L14" s="184"/>
      <c r="M14" s="184"/>
      <c r="N14" s="184"/>
      <c r="O14" s="184"/>
    </row>
    <row r="15" spans="1:15" ht="18" x14ac:dyDescent="0.25">
      <c r="A15" s="184"/>
      <c r="B15" s="184" t="s">
        <v>74</v>
      </c>
      <c r="C15" s="184"/>
      <c r="D15" s="200">
        <f>+D13+D14</f>
        <v>42911864.100000001</v>
      </c>
      <c r="E15" s="198"/>
      <c r="F15" s="198"/>
      <c r="G15" s="184"/>
      <c r="H15" s="184"/>
      <c r="I15" s="184"/>
      <c r="J15" s="184"/>
      <c r="K15" s="184"/>
      <c r="L15" s="184"/>
      <c r="M15" s="184"/>
      <c r="N15" s="184"/>
      <c r="O15" s="184"/>
    </row>
    <row r="16" spans="1:15" ht="18" x14ac:dyDescent="0.25">
      <c r="A16" s="184"/>
      <c r="B16" s="201" t="s">
        <v>85</v>
      </c>
      <c r="C16" s="201"/>
      <c r="D16" s="202">
        <f>+D11+D15</f>
        <v>44546440.166666672</v>
      </c>
      <c r="E16" s="184"/>
      <c r="F16" s="184"/>
      <c r="G16" s="184"/>
      <c r="H16" s="184"/>
      <c r="I16" s="184"/>
      <c r="J16" s="184"/>
      <c r="K16" s="184"/>
      <c r="L16" s="184"/>
      <c r="M16" s="184"/>
      <c r="N16" s="184"/>
      <c r="O16" s="184"/>
    </row>
    <row r="17" spans="1:15" ht="18" x14ac:dyDescent="0.25">
      <c r="A17" s="184"/>
      <c r="B17" s="184"/>
      <c r="C17" s="184"/>
      <c r="D17" s="184"/>
      <c r="E17" s="184"/>
      <c r="F17" s="184"/>
      <c r="G17" s="184"/>
      <c r="H17" s="184"/>
      <c r="I17" s="184"/>
      <c r="J17" s="184"/>
      <c r="K17" s="184"/>
      <c r="L17" s="184"/>
      <c r="M17" s="184"/>
      <c r="N17" s="184"/>
      <c r="O17" s="184"/>
    </row>
    <row r="18" spans="1:15" ht="18" x14ac:dyDescent="0.25">
      <c r="A18" s="184"/>
      <c r="B18" s="184"/>
      <c r="C18" s="184"/>
      <c r="D18" s="184"/>
      <c r="E18" s="184"/>
      <c r="F18" s="184"/>
      <c r="G18" s="184"/>
      <c r="H18" s="184"/>
      <c r="I18" s="184"/>
      <c r="J18" s="184"/>
      <c r="K18" s="184"/>
      <c r="L18" s="184"/>
      <c r="M18" s="184"/>
      <c r="N18" s="184"/>
      <c r="O18" s="184"/>
    </row>
    <row r="19" spans="1:15" ht="18.75" thickBot="1" x14ac:dyDescent="0.3">
      <c r="A19" s="184"/>
      <c r="B19" s="184"/>
      <c r="C19" s="184"/>
      <c r="D19" s="184"/>
      <c r="E19" s="184"/>
      <c r="F19" s="184"/>
      <c r="G19" s="184"/>
      <c r="H19" s="184"/>
      <c r="I19" s="184"/>
      <c r="J19" s="184"/>
      <c r="K19" s="184"/>
      <c r="L19" s="184"/>
      <c r="M19" s="184"/>
      <c r="N19" s="184"/>
      <c r="O19" s="184"/>
    </row>
    <row r="20" spans="1:15" ht="54" x14ac:dyDescent="0.25">
      <c r="A20" s="184"/>
      <c r="B20" s="203" t="s">
        <v>86</v>
      </c>
      <c r="C20" s="204">
        <v>1347077</v>
      </c>
      <c r="D20" s="204">
        <f>+C20/30</f>
        <v>44902.566666666666</v>
      </c>
      <c r="E20" s="204">
        <f>+D20/8</f>
        <v>5612.8208333333332</v>
      </c>
      <c r="F20" s="205"/>
      <c r="G20" s="206"/>
      <c r="H20" s="195"/>
      <c r="I20" s="195"/>
      <c r="J20" s="184"/>
      <c r="K20" s="184"/>
      <c r="L20" s="184"/>
      <c r="M20" s="184"/>
      <c r="N20" s="184"/>
      <c r="O20" s="184"/>
    </row>
    <row r="21" spans="1:15" ht="18.75" thickBot="1" x14ac:dyDescent="0.3">
      <c r="A21" s="184"/>
      <c r="B21" s="207"/>
      <c r="C21" s="208"/>
      <c r="D21" s="209"/>
      <c r="E21" s="208"/>
      <c r="F21" s="208"/>
      <c r="G21" s="210"/>
      <c r="H21" s="195"/>
      <c r="I21" s="195"/>
      <c r="J21" s="184"/>
      <c r="K21" s="184"/>
      <c r="L21" s="184"/>
      <c r="M21" s="184"/>
      <c r="N21" s="184"/>
      <c r="O21" s="184"/>
    </row>
    <row r="22" spans="1:15" ht="18.75" thickBot="1" x14ac:dyDescent="0.3">
      <c r="A22" s="184"/>
      <c r="B22" s="184"/>
      <c r="C22" s="184"/>
      <c r="D22" s="184"/>
      <c r="E22" s="184"/>
      <c r="F22" s="184"/>
      <c r="G22" s="184"/>
      <c r="H22" s="184"/>
      <c r="I22" s="184"/>
      <c r="J22" s="184"/>
      <c r="K22" s="184"/>
      <c r="L22" s="184"/>
      <c r="M22" s="184"/>
      <c r="N22" s="184"/>
      <c r="O22" s="184"/>
    </row>
    <row r="23" spans="1:15" ht="36" x14ac:dyDescent="0.25">
      <c r="A23" s="184"/>
      <c r="B23" s="211"/>
      <c r="C23" s="212" t="s">
        <v>88</v>
      </c>
      <c r="D23" s="213" t="s">
        <v>89</v>
      </c>
      <c r="E23" s="212" t="s">
        <v>85</v>
      </c>
      <c r="F23" s="214" t="s">
        <v>97</v>
      </c>
      <c r="G23" s="212" t="s">
        <v>90</v>
      </c>
      <c r="H23" s="215" t="s">
        <v>91</v>
      </c>
      <c r="I23" s="216"/>
      <c r="J23" s="184"/>
      <c r="K23" s="184"/>
      <c r="L23" s="184"/>
      <c r="M23" s="184"/>
      <c r="N23" s="184"/>
      <c r="O23" s="184"/>
    </row>
    <row r="24" spans="1:15" ht="90.75" thickBot="1" x14ac:dyDescent="0.3">
      <c r="A24" s="184"/>
      <c r="B24" s="217" t="s">
        <v>87</v>
      </c>
      <c r="C24" s="218">
        <v>82</v>
      </c>
      <c r="D24" s="218">
        <v>634</v>
      </c>
      <c r="E24" s="219">
        <f>+C24*D24</f>
        <v>51988</v>
      </c>
      <c r="F24" s="219">
        <f>+E24*12</f>
        <v>623856</v>
      </c>
      <c r="G24" s="219">
        <f>+F24/30</f>
        <v>20795.2</v>
      </c>
      <c r="H24" s="220">
        <f>+G24/8</f>
        <v>2599.4</v>
      </c>
      <c r="I24" s="221"/>
      <c r="J24" s="184"/>
      <c r="K24" s="184"/>
      <c r="L24" s="184"/>
      <c r="M24" s="184"/>
      <c r="N24" s="184"/>
      <c r="O24" s="184"/>
    </row>
    <row r="25" spans="1:15" ht="18" x14ac:dyDescent="0.25">
      <c r="A25" s="184"/>
      <c r="B25" s="184"/>
      <c r="C25" s="184"/>
      <c r="D25" s="184"/>
      <c r="E25" s="184"/>
      <c r="F25" s="184"/>
      <c r="G25" s="184"/>
      <c r="H25" s="184"/>
      <c r="I25" s="184"/>
      <c r="J25" s="184"/>
      <c r="K25" s="184"/>
      <c r="L25" s="184"/>
      <c r="M25" s="184"/>
      <c r="N25" s="184"/>
      <c r="O25" s="184"/>
    </row>
    <row r="26" spans="1:15" ht="18" x14ac:dyDescent="0.25">
      <c r="A26" s="184"/>
      <c r="B26" s="184"/>
      <c r="C26" s="184"/>
      <c r="D26" s="184"/>
      <c r="E26" s="184"/>
      <c r="F26" s="184"/>
      <c r="G26" s="184"/>
      <c r="H26" s="184"/>
      <c r="I26" s="184"/>
      <c r="J26" s="184"/>
      <c r="K26" s="184"/>
      <c r="L26" s="184"/>
      <c r="M26" s="184"/>
      <c r="N26" s="184"/>
      <c r="O26" s="184"/>
    </row>
    <row r="27" spans="1:15" ht="18.75" thickBot="1" x14ac:dyDescent="0.3">
      <c r="A27" s="184"/>
      <c r="B27" s="184"/>
      <c r="C27" s="184"/>
      <c r="D27" s="184"/>
      <c r="E27" s="184"/>
      <c r="F27" s="184"/>
      <c r="G27" s="184"/>
      <c r="H27" s="184"/>
      <c r="I27" s="184"/>
      <c r="J27" s="184"/>
      <c r="K27" s="184"/>
      <c r="L27" s="184"/>
      <c r="M27" s="184"/>
      <c r="N27" s="184"/>
      <c r="O27" s="184"/>
    </row>
    <row r="28" spans="1:15" ht="18" x14ac:dyDescent="0.25">
      <c r="A28" s="184"/>
      <c r="B28" s="222"/>
      <c r="C28" s="223" t="s">
        <v>92</v>
      </c>
      <c r="D28" s="223" t="s">
        <v>93</v>
      </c>
      <c r="E28" s="223" t="s">
        <v>90</v>
      </c>
      <c r="F28" s="224" t="s">
        <v>94</v>
      </c>
      <c r="G28" s="184"/>
      <c r="H28" s="184"/>
      <c r="I28" s="184"/>
      <c r="J28" s="184"/>
      <c r="K28" s="184"/>
      <c r="L28" s="184"/>
      <c r="M28" s="184"/>
      <c r="N28" s="184"/>
      <c r="O28" s="184"/>
    </row>
    <row r="29" spans="1:15" ht="36" x14ac:dyDescent="0.25">
      <c r="A29" s="184"/>
      <c r="B29" s="225" t="s">
        <v>77</v>
      </c>
      <c r="C29" s="197">
        <v>775000</v>
      </c>
      <c r="D29" s="197">
        <f>+C29/12</f>
        <v>64583.333333333336</v>
      </c>
      <c r="E29" s="197">
        <f>+D29/30</f>
        <v>2152.7777777777778</v>
      </c>
      <c r="F29" s="226">
        <f>+E29/8</f>
        <v>269.09722222222223</v>
      </c>
      <c r="G29" s="200"/>
      <c r="H29" s="200"/>
      <c r="I29" s="200"/>
      <c r="J29" s="184"/>
      <c r="K29" s="184"/>
      <c r="L29" s="184"/>
      <c r="M29" s="184"/>
      <c r="N29" s="184"/>
      <c r="O29" s="184"/>
    </row>
    <row r="30" spans="1:15" ht="18" x14ac:dyDescent="0.25">
      <c r="A30" s="184"/>
      <c r="B30" s="227"/>
      <c r="C30" s="197"/>
      <c r="D30" s="197"/>
      <c r="E30" s="197"/>
      <c r="F30" s="226"/>
      <c r="G30" s="200"/>
      <c r="H30" s="200"/>
      <c r="I30" s="200"/>
      <c r="J30" s="184"/>
      <c r="K30" s="184"/>
      <c r="L30" s="184"/>
      <c r="M30" s="184"/>
      <c r="N30" s="184"/>
      <c r="O30" s="184"/>
    </row>
    <row r="31" spans="1:15" ht="18.75" thickBot="1" x14ac:dyDescent="0.3">
      <c r="A31" s="184"/>
      <c r="B31" s="228"/>
      <c r="C31" s="209"/>
      <c r="D31" s="209"/>
      <c r="E31" s="209"/>
      <c r="F31" s="229"/>
      <c r="G31" s="200"/>
      <c r="H31" s="200"/>
      <c r="I31" s="200"/>
      <c r="J31" s="184"/>
      <c r="K31" s="184"/>
      <c r="L31" s="184"/>
      <c r="M31" s="184"/>
      <c r="N31" s="184"/>
      <c r="O31" s="184"/>
    </row>
    <row r="32" spans="1:15" ht="18.75" thickBot="1" x14ac:dyDescent="0.3">
      <c r="A32" s="184"/>
      <c r="B32" s="184"/>
      <c r="C32" s="200"/>
      <c r="D32" s="200"/>
      <c r="E32" s="200"/>
      <c r="F32" s="200"/>
      <c r="G32" s="200"/>
      <c r="H32" s="200"/>
      <c r="I32" s="200"/>
      <c r="J32" s="184"/>
      <c r="K32" s="184"/>
      <c r="L32" s="184"/>
      <c r="M32" s="184"/>
      <c r="N32" s="184"/>
      <c r="O32" s="184"/>
    </row>
    <row r="33" spans="1:15" ht="18" x14ac:dyDescent="0.25">
      <c r="A33" s="184"/>
      <c r="B33" s="222"/>
      <c r="C33" s="223" t="s">
        <v>92</v>
      </c>
      <c r="D33" s="223" t="s">
        <v>93</v>
      </c>
      <c r="E33" s="223" t="s">
        <v>90</v>
      </c>
      <c r="F33" s="224" t="s">
        <v>94</v>
      </c>
      <c r="G33" s="200"/>
      <c r="H33" s="200"/>
      <c r="I33" s="200"/>
      <c r="J33" s="184"/>
      <c r="K33" s="184"/>
      <c r="L33" s="184"/>
      <c r="M33" s="184"/>
      <c r="N33" s="184"/>
      <c r="O33" s="184"/>
    </row>
    <row r="34" spans="1:15" ht="18.75" thickBot="1" x14ac:dyDescent="0.3">
      <c r="A34" s="184"/>
      <c r="B34" s="230" t="s">
        <v>95</v>
      </c>
      <c r="C34" s="209">
        <v>65522</v>
      </c>
      <c r="D34" s="209">
        <f>+C34/12</f>
        <v>5460.166666666667</v>
      </c>
      <c r="E34" s="209">
        <f>+D34/30</f>
        <v>182.00555555555556</v>
      </c>
      <c r="F34" s="229">
        <f>+E34/8</f>
        <v>22.750694444444445</v>
      </c>
      <c r="G34" s="184"/>
      <c r="H34" s="184"/>
      <c r="I34" s="184"/>
      <c r="J34" s="184"/>
      <c r="K34" s="184"/>
      <c r="L34" s="184"/>
      <c r="M34" s="184"/>
      <c r="N34" s="184"/>
      <c r="O34" s="184"/>
    </row>
    <row r="35" spans="1:15" ht="18" x14ac:dyDescent="0.25">
      <c r="A35" s="184"/>
      <c r="B35" s="184"/>
      <c r="C35" s="200"/>
      <c r="D35" s="200"/>
      <c r="E35" s="200"/>
      <c r="F35" s="200"/>
      <c r="G35" s="184"/>
      <c r="H35" s="184"/>
      <c r="I35" s="184"/>
      <c r="J35" s="184"/>
      <c r="K35" s="184"/>
      <c r="L35" s="184"/>
      <c r="M35" s="184"/>
      <c r="N35" s="184"/>
      <c r="O35" s="184"/>
    </row>
    <row r="36" spans="1:15" ht="18" x14ac:dyDescent="0.25">
      <c r="A36" s="184"/>
      <c r="B36" s="184"/>
      <c r="C36" s="200"/>
      <c r="D36" s="200"/>
      <c r="E36" s="200"/>
      <c r="F36" s="200"/>
      <c r="G36" s="184"/>
      <c r="H36" s="184"/>
      <c r="I36" s="184"/>
      <c r="J36" s="184"/>
      <c r="K36" s="184"/>
      <c r="L36" s="184"/>
      <c r="M36" s="184"/>
      <c r="N36" s="184"/>
      <c r="O36" s="184"/>
    </row>
    <row r="37" spans="1:15" ht="18.75" thickBot="1" x14ac:dyDescent="0.3">
      <c r="A37" s="184"/>
      <c r="B37" s="184"/>
      <c r="C37" s="200"/>
      <c r="D37" s="200"/>
      <c r="E37" s="200"/>
      <c r="F37" s="200"/>
      <c r="G37" s="184"/>
      <c r="H37" s="184"/>
      <c r="I37" s="184"/>
      <c r="J37" s="184"/>
      <c r="K37" s="184"/>
      <c r="L37" s="184"/>
      <c r="M37" s="184"/>
      <c r="N37" s="184"/>
      <c r="O37" s="184"/>
    </row>
    <row r="38" spans="1:15" ht="18" x14ac:dyDescent="0.25">
      <c r="A38" s="184"/>
      <c r="B38" s="222"/>
      <c r="C38" s="223" t="s">
        <v>92</v>
      </c>
      <c r="D38" s="223" t="s">
        <v>93</v>
      </c>
      <c r="E38" s="223" t="s">
        <v>90</v>
      </c>
      <c r="F38" s="224" t="s">
        <v>94</v>
      </c>
      <c r="G38" s="184"/>
      <c r="H38" s="184"/>
      <c r="I38" s="184"/>
      <c r="J38" s="184"/>
      <c r="K38" s="184"/>
      <c r="L38" s="184"/>
      <c r="M38" s="184"/>
      <c r="N38" s="184"/>
      <c r="O38" s="184"/>
    </row>
    <row r="39" spans="1:15" ht="18.75" thickBot="1" x14ac:dyDescent="0.3">
      <c r="A39" s="184"/>
      <c r="B39" s="231" t="s">
        <v>96</v>
      </c>
      <c r="C39" s="209">
        <v>26923</v>
      </c>
      <c r="D39" s="209">
        <f>+C39/12</f>
        <v>2243.5833333333335</v>
      </c>
      <c r="E39" s="209">
        <f>+D39/30</f>
        <v>74.786111111111111</v>
      </c>
      <c r="F39" s="229">
        <f>+E39/8</f>
        <v>9.3482638888888889</v>
      </c>
      <c r="G39" s="184"/>
      <c r="H39" s="184"/>
      <c r="I39" s="184"/>
      <c r="J39" s="184"/>
      <c r="K39" s="184"/>
      <c r="L39" s="184"/>
      <c r="M39" s="184"/>
      <c r="N39" s="184"/>
      <c r="O39" s="184"/>
    </row>
    <row r="40" spans="1:15" ht="18" x14ac:dyDescent="0.25">
      <c r="A40" s="184"/>
      <c r="B40" s="184"/>
      <c r="C40" s="184"/>
      <c r="D40" s="184"/>
      <c r="E40" s="184"/>
      <c r="F40" s="184"/>
      <c r="G40" s="184"/>
      <c r="H40" s="184"/>
      <c r="I40" s="184"/>
      <c r="J40" s="184"/>
      <c r="K40" s="184"/>
      <c r="L40" s="184"/>
      <c r="M40" s="184"/>
      <c r="N40" s="184"/>
      <c r="O40" s="184"/>
    </row>
    <row r="41" spans="1:15" ht="18" x14ac:dyDescent="0.25">
      <c r="A41" s="184"/>
      <c r="B41" s="184"/>
      <c r="C41" s="184"/>
      <c r="D41" s="184"/>
      <c r="E41" s="184"/>
      <c r="F41" s="184"/>
      <c r="G41" s="184"/>
      <c r="H41" s="184"/>
      <c r="I41" s="184"/>
      <c r="J41" s="184"/>
      <c r="K41" s="184"/>
      <c r="L41" s="184"/>
      <c r="M41" s="184"/>
      <c r="N41" s="184"/>
      <c r="O41" s="184"/>
    </row>
    <row r="42" spans="1:15" ht="18" x14ac:dyDescent="0.25">
      <c r="A42" s="184"/>
      <c r="B42" s="184"/>
      <c r="C42" s="184"/>
      <c r="D42" s="184"/>
      <c r="E42" s="184"/>
      <c r="F42" s="184"/>
      <c r="G42" s="184"/>
      <c r="H42" s="184"/>
      <c r="I42" s="184"/>
      <c r="J42" s="184"/>
      <c r="K42" s="184"/>
      <c r="L42" s="184"/>
      <c r="M42" s="184"/>
      <c r="N42" s="184"/>
      <c r="O42" s="184"/>
    </row>
    <row r="43" spans="1:15" s="1" customFormat="1" ht="26.45" customHeight="1" x14ac:dyDescent="0.25">
      <c r="A43" s="183"/>
      <c r="B43" s="341" t="s">
        <v>98</v>
      </c>
      <c r="C43" s="341"/>
      <c r="D43" s="336" t="s">
        <v>78</v>
      </c>
      <c r="E43" s="336"/>
      <c r="F43" s="336"/>
      <c r="G43" s="336"/>
      <c r="H43" s="336"/>
      <c r="I43" s="336"/>
      <c r="J43" s="336"/>
      <c r="K43" s="336"/>
      <c r="L43" s="336"/>
      <c r="M43" s="336"/>
      <c r="N43" s="336"/>
      <c r="O43" s="183"/>
    </row>
    <row r="44" spans="1:15" ht="30.95" customHeight="1" x14ac:dyDescent="0.25">
      <c r="A44" s="184"/>
      <c r="B44" s="341"/>
      <c r="C44" s="341"/>
      <c r="D44" s="185" t="s">
        <v>76</v>
      </c>
      <c r="E44" s="185" t="s">
        <v>75</v>
      </c>
      <c r="F44" s="185" t="s">
        <v>84</v>
      </c>
      <c r="G44" s="185" t="s">
        <v>77</v>
      </c>
      <c r="H44" s="185" t="s">
        <v>95</v>
      </c>
      <c r="I44" s="185" t="s">
        <v>96</v>
      </c>
      <c r="J44" s="185" t="s">
        <v>79</v>
      </c>
      <c r="K44" s="185" t="s">
        <v>80</v>
      </c>
      <c r="L44" s="185" t="s">
        <v>81</v>
      </c>
      <c r="M44" s="185" t="s">
        <v>82</v>
      </c>
      <c r="N44" s="185" t="s">
        <v>85</v>
      </c>
      <c r="O44" s="184"/>
    </row>
    <row r="45" spans="1:15" ht="18" x14ac:dyDescent="0.25">
      <c r="A45" s="184"/>
      <c r="B45" s="343" t="s">
        <v>67</v>
      </c>
      <c r="C45" s="343"/>
      <c r="D45" s="186">
        <f>(12*6)*E20</f>
        <v>404123.1</v>
      </c>
      <c r="E45" s="186">
        <f>+(12*6)*H24</f>
        <v>187156.80000000002</v>
      </c>
      <c r="F45" s="187"/>
      <c r="G45" s="188">
        <f>+(12*6)*F29</f>
        <v>19375</v>
      </c>
      <c r="H45" s="188">
        <f>+(12*6)*F34</f>
        <v>1638.05</v>
      </c>
      <c r="I45" s="188">
        <f>+(12*6)*F39</f>
        <v>673.07500000000005</v>
      </c>
      <c r="J45" s="189"/>
      <c r="K45" s="232">
        <f>+E54</f>
        <v>68000</v>
      </c>
      <c r="L45" s="232">
        <v>24000</v>
      </c>
      <c r="M45" s="189"/>
      <c r="N45" s="190">
        <f>SUM(D45:M45)</f>
        <v>704966.02500000002</v>
      </c>
      <c r="O45" s="184"/>
    </row>
    <row r="46" spans="1:15" ht="18" x14ac:dyDescent="0.25">
      <c r="A46" s="184"/>
      <c r="B46" s="343" t="s">
        <v>68</v>
      </c>
      <c r="C46" s="343"/>
      <c r="D46" s="186">
        <f>(12*6)*E20</f>
        <v>404123.1</v>
      </c>
      <c r="E46" s="186">
        <f>+(12*6)*H24</f>
        <v>187156.80000000002</v>
      </c>
      <c r="F46" s="187"/>
      <c r="G46" s="188">
        <f>+(12*6)*F29</f>
        <v>19375</v>
      </c>
      <c r="H46" s="188">
        <f>+(12*6)*F34</f>
        <v>1638.05</v>
      </c>
      <c r="I46" s="188">
        <f>+(12*6)*F39</f>
        <v>673.07500000000005</v>
      </c>
      <c r="J46" s="189"/>
      <c r="K46" s="232">
        <f>+E54</f>
        <v>68000</v>
      </c>
      <c r="L46" s="232">
        <v>24000</v>
      </c>
      <c r="M46" s="189"/>
      <c r="N46" s="190">
        <f>SUM(D46:M46)</f>
        <v>704966.02500000002</v>
      </c>
      <c r="O46" s="184"/>
    </row>
    <row r="47" spans="1:15" ht="18" x14ac:dyDescent="0.25">
      <c r="A47" s="184"/>
      <c r="B47" s="343" t="s">
        <v>69</v>
      </c>
      <c r="C47" s="343"/>
      <c r="D47" s="186">
        <f>(12*6)*E20</f>
        <v>404123.1</v>
      </c>
      <c r="E47" s="186">
        <f>+(12*6)*H24</f>
        <v>187156.80000000002</v>
      </c>
      <c r="F47" s="187"/>
      <c r="G47" s="188">
        <f>+(12*6)*F29</f>
        <v>19375</v>
      </c>
      <c r="H47" s="188">
        <f>+(12*6)*F34</f>
        <v>1638.05</v>
      </c>
      <c r="I47" s="188">
        <f>+(12*6)*F39</f>
        <v>673.07500000000005</v>
      </c>
      <c r="J47" s="189"/>
      <c r="K47" s="232">
        <f>+E54</f>
        <v>68000</v>
      </c>
      <c r="L47" s="232">
        <v>24000</v>
      </c>
      <c r="M47" s="189"/>
      <c r="N47" s="190">
        <f t="shared" ref="N47:N49" si="2">SUM(D47:M47)</f>
        <v>704966.02500000002</v>
      </c>
      <c r="O47" s="184"/>
    </row>
    <row r="48" spans="1:15" ht="18" x14ac:dyDescent="0.25">
      <c r="A48" s="184"/>
      <c r="B48" s="343" t="s">
        <v>70</v>
      </c>
      <c r="C48" s="343"/>
      <c r="D48" s="186">
        <f>(12*6)*E20</f>
        <v>404123.1</v>
      </c>
      <c r="E48" s="186">
        <f>+(12*6)*H24</f>
        <v>187156.80000000002</v>
      </c>
      <c r="F48" s="187"/>
      <c r="G48" s="188">
        <f>+(12*6)*F29</f>
        <v>19375</v>
      </c>
      <c r="H48" s="188">
        <f>+(12*6)*F34</f>
        <v>1638.05</v>
      </c>
      <c r="I48" s="188">
        <f>+(12*6)*F39</f>
        <v>673.07500000000005</v>
      </c>
      <c r="J48" s="189"/>
      <c r="K48" s="232">
        <f>+E54</f>
        <v>68000</v>
      </c>
      <c r="L48" s="232">
        <v>24000</v>
      </c>
      <c r="M48" s="189"/>
      <c r="N48" s="190">
        <f t="shared" si="2"/>
        <v>704966.02500000002</v>
      </c>
      <c r="O48" s="184"/>
    </row>
    <row r="49" spans="1:15" ht="18" x14ac:dyDescent="0.25">
      <c r="A49" s="184"/>
      <c r="B49" s="337" t="s">
        <v>83</v>
      </c>
      <c r="C49" s="338"/>
      <c r="D49" s="189">
        <v>0</v>
      </c>
      <c r="E49" s="187">
        <v>0</v>
      </c>
      <c r="F49" s="191">
        <v>0</v>
      </c>
      <c r="G49" s="191">
        <v>0</v>
      </c>
      <c r="H49" s="191">
        <v>0</v>
      </c>
      <c r="I49" s="191">
        <v>0</v>
      </c>
      <c r="J49" s="189"/>
      <c r="K49" s="232">
        <f>+E54</f>
        <v>68000</v>
      </c>
      <c r="L49" s="232">
        <v>24000</v>
      </c>
      <c r="M49" s="189"/>
      <c r="N49" s="190">
        <f t="shared" si="2"/>
        <v>92000</v>
      </c>
      <c r="O49" s="184"/>
    </row>
    <row r="50" spans="1:15" ht="18" x14ac:dyDescent="0.25">
      <c r="A50" s="184"/>
      <c r="B50" s="339" t="s">
        <v>85</v>
      </c>
      <c r="C50" s="340"/>
      <c r="D50" s="192">
        <f>SUM(D45:D49)</f>
        <v>1616492.4</v>
      </c>
      <c r="E50" s="192">
        <f t="shared" ref="E50" si="3">SUM(E45:E49)</f>
        <v>748627.20000000007</v>
      </c>
      <c r="F50" s="192">
        <f t="shared" ref="F50" si="4">SUM(F45:F49)</f>
        <v>0</v>
      </c>
      <c r="G50" s="192">
        <f t="shared" ref="G50" si="5">SUM(G45:G49)</f>
        <v>77500</v>
      </c>
      <c r="H50" s="192">
        <f t="shared" ref="H50" si="6">SUM(H45:H49)</f>
        <v>6552.2</v>
      </c>
      <c r="I50" s="192">
        <f t="shared" ref="I50" si="7">SUM(I45:I49)</f>
        <v>2692.3</v>
      </c>
      <c r="J50" s="192">
        <f t="shared" ref="J50" si="8">SUM(J45:J49)</f>
        <v>0</v>
      </c>
      <c r="K50" s="192">
        <f t="shared" ref="K50" si="9">SUM(K45:K49)</f>
        <v>340000</v>
      </c>
      <c r="L50" s="192">
        <f t="shared" ref="L50" si="10">SUM(L45:L49)</f>
        <v>120000</v>
      </c>
      <c r="M50" s="192">
        <f t="shared" ref="M50" si="11">SUM(M45:M49)</f>
        <v>0</v>
      </c>
      <c r="N50" s="192">
        <f>SUM(D50:M50)</f>
        <v>2911864.1</v>
      </c>
      <c r="O50" s="184"/>
    </row>
    <row r="51" spans="1:15" ht="18" x14ac:dyDescent="0.25">
      <c r="A51" s="184"/>
      <c r="B51" s="184"/>
      <c r="C51" s="184"/>
      <c r="D51" s="184"/>
      <c r="E51" s="184"/>
      <c r="F51" s="184"/>
      <c r="G51" s="184"/>
      <c r="H51" s="184"/>
      <c r="I51" s="184"/>
      <c r="J51" s="184"/>
      <c r="K51" s="184"/>
      <c r="L51" s="184"/>
      <c r="M51" s="184"/>
      <c r="N51" s="184"/>
      <c r="O51" s="184"/>
    </row>
    <row r="52" spans="1:15" ht="18.75" thickBot="1" x14ac:dyDescent="0.3">
      <c r="A52" s="184"/>
      <c r="B52" s="184"/>
      <c r="C52" s="184"/>
      <c r="D52" s="184"/>
      <c r="E52" s="184"/>
      <c r="F52" s="184"/>
      <c r="G52" s="184"/>
      <c r="H52" s="184"/>
      <c r="I52" s="184"/>
      <c r="J52" s="184"/>
      <c r="K52" s="184"/>
      <c r="L52" s="184"/>
      <c r="M52" s="184"/>
      <c r="N52" s="184"/>
      <c r="O52" s="184"/>
    </row>
    <row r="53" spans="1:15" ht="18" x14ac:dyDescent="0.25">
      <c r="A53" s="184"/>
      <c r="B53" s="222"/>
      <c r="C53" s="212" t="s">
        <v>90</v>
      </c>
      <c r="D53" s="205"/>
      <c r="E53" s="215" t="s">
        <v>99</v>
      </c>
      <c r="F53" s="233"/>
      <c r="G53" s="184"/>
      <c r="H53" s="184"/>
      <c r="I53" s="184"/>
      <c r="J53" s="184"/>
      <c r="K53" s="184"/>
      <c r="L53" s="184"/>
      <c r="M53" s="184"/>
      <c r="N53" s="184"/>
      <c r="O53" s="184"/>
    </row>
    <row r="54" spans="1:15" ht="18.75" thickBot="1" x14ac:dyDescent="0.3">
      <c r="A54" s="184"/>
      <c r="B54" s="207" t="s">
        <v>80</v>
      </c>
      <c r="C54" s="209">
        <v>13600</v>
      </c>
      <c r="D54" s="209">
        <f>+C54*2</f>
        <v>27200</v>
      </c>
      <c r="E54" s="229">
        <f>+C54*5</f>
        <v>68000</v>
      </c>
      <c r="F54" s="200"/>
      <c r="G54" s="184"/>
      <c r="H54" s="184"/>
      <c r="I54" s="184"/>
      <c r="J54" s="184"/>
      <c r="K54" s="184"/>
      <c r="L54" s="184"/>
      <c r="M54" s="184"/>
      <c r="N54" s="184"/>
      <c r="O54" s="184"/>
    </row>
    <row r="55" spans="1:15" ht="18" x14ac:dyDescent="0.25">
      <c r="A55" s="184"/>
      <c r="B55" s="184"/>
      <c r="C55" s="184"/>
      <c r="D55" s="184"/>
      <c r="E55" s="184"/>
      <c r="F55" s="184"/>
      <c r="G55" s="184"/>
      <c r="H55" s="184"/>
      <c r="I55" s="184"/>
      <c r="J55" s="184"/>
      <c r="K55" s="184"/>
      <c r="L55" s="184"/>
      <c r="M55" s="184"/>
      <c r="N55" s="184"/>
      <c r="O55" s="184"/>
    </row>
    <row r="56" spans="1:15" ht="18" x14ac:dyDescent="0.25">
      <c r="A56" s="184"/>
      <c r="B56" s="184"/>
      <c r="C56" s="184"/>
      <c r="D56" s="184"/>
      <c r="E56" s="184"/>
      <c r="F56" s="184"/>
      <c r="G56" s="184"/>
      <c r="H56" s="184"/>
      <c r="I56" s="184"/>
      <c r="J56" s="184"/>
      <c r="K56" s="184"/>
      <c r="L56" s="184"/>
      <c r="M56" s="184"/>
      <c r="N56" s="184"/>
      <c r="O56" s="184"/>
    </row>
    <row r="57" spans="1:15" ht="18" x14ac:dyDescent="0.25">
      <c r="A57" s="184"/>
      <c r="B57" s="184"/>
      <c r="C57" s="184"/>
      <c r="D57" s="184"/>
      <c r="E57" s="184"/>
      <c r="F57" s="184"/>
      <c r="G57" s="184"/>
      <c r="H57" s="184"/>
      <c r="I57" s="184"/>
      <c r="J57" s="184"/>
      <c r="K57" s="184"/>
      <c r="L57" s="184"/>
      <c r="M57" s="184"/>
      <c r="N57" s="184"/>
      <c r="O57" s="184"/>
    </row>
    <row r="58" spans="1:15" ht="18" x14ac:dyDescent="0.25">
      <c r="A58" s="184"/>
      <c r="B58" s="184"/>
      <c r="C58" s="184"/>
      <c r="D58" s="184"/>
      <c r="E58" s="184"/>
      <c r="F58" s="184"/>
      <c r="G58" s="184"/>
      <c r="H58" s="184"/>
      <c r="I58" s="184"/>
      <c r="J58" s="184"/>
      <c r="K58" s="184"/>
      <c r="L58" s="184"/>
      <c r="M58" s="184"/>
      <c r="N58" s="184"/>
      <c r="O58" s="184"/>
    </row>
  </sheetData>
  <mergeCells count="17">
    <mergeCell ref="B47:C47"/>
    <mergeCell ref="B48:C48"/>
    <mergeCell ref="B49:C49"/>
    <mergeCell ref="B50:C50"/>
    <mergeCell ref="B2:C3"/>
    <mergeCell ref="B45:C45"/>
    <mergeCell ref="B46:C46"/>
    <mergeCell ref="D2:N2"/>
    <mergeCell ref="B8:C8"/>
    <mergeCell ref="B9:C9"/>
    <mergeCell ref="B43:C44"/>
    <mergeCell ref="D43:N43"/>
    <mergeCell ref="B12:C12"/>
    <mergeCell ref="B4:C4"/>
    <mergeCell ref="B5:C5"/>
    <mergeCell ref="B6:C6"/>
    <mergeCell ref="B7:C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099F-974C-4AC9-AC0C-60C00BB24D98}">
  <dimension ref="B3:P41"/>
  <sheetViews>
    <sheetView showGridLines="0" zoomScale="95" zoomScaleNormal="95" workbookViewId="0">
      <selection activeCell="L30" sqref="L30"/>
    </sheetView>
  </sheetViews>
  <sheetFormatPr baseColWidth="10" defaultColWidth="10.625" defaultRowHeight="15.75" x14ac:dyDescent="0.25"/>
  <cols>
    <col min="1" max="1" width="10.625" style="12"/>
    <col min="2" max="2" width="16.625" style="12" customWidth="1"/>
    <col min="3" max="3" width="17.625" style="12" customWidth="1"/>
    <col min="4" max="4" width="15.625" style="12" bestFit="1" customWidth="1"/>
    <col min="5" max="9" width="15.625" style="12" customWidth="1"/>
    <col min="10" max="10" width="12.875" style="12" customWidth="1"/>
    <col min="11" max="11" width="15.625" style="12" customWidth="1"/>
    <col min="12" max="12" width="19" style="12" customWidth="1"/>
    <col min="13" max="13" width="15.625" style="12" customWidth="1"/>
    <col min="14" max="14" width="18.875" style="12" customWidth="1"/>
    <col min="15" max="15" width="16.25" style="12" customWidth="1"/>
    <col min="16" max="16384" width="10.625" style="12"/>
  </cols>
  <sheetData>
    <row r="3" spans="2:16" ht="78.75" x14ac:dyDescent="0.25">
      <c r="B3" s="33" t="s">
        <v>28</v>
      </c>
      <c r="C3" s="17"/>
      <c r="D3" s="18" t="s">
        <v>105</v>
      </c>
      <c r="E3" s="18" t="s">
        <v>106</v>
      </c>
      <c r="F3" s="18" t="s">
        <v>107</v>
      </c>
      <c r="G3" s="18" t="s">
        <v>92</v>
      </c>
      <c r="H3" s="18" t="s">
        <v>93</v>
      </c>
      <c r="I3" s="18" t="s">
        <v>113</v>
      </c>
      <c r="J3" s="18" t="s">
        <v>115</v>
      </c>
      <c r="K3" s="18" t="s">
        <v>116</v>
      </c>
      <c r="L3" s="18" t="s">
        <v>117</v>
      </c>
      <c r="M3" s="18" t="s">
        <v>114</v>
      </c>
    </row>
    <row r="4" spans="2:16" ht="46.5" customHeight="1" x14ac:dyDescent="0.25">
      <c r="B4" s="344" t="s">
        <v>86</v>
      </c>
      <c r="C4" s="19" t="s">
        <v>108</v>
      </c>
      <c r="D4" s="20">
        <v>1047054118</v>
      </c>
      <c r="E4" s="20">
        <v>58</v>
      </c>
      <c r="F4" s="20">
        <f>+D4/E4</f>
        <v>18052657.206896551</v>
      </c>
      <c r="G4" s="20">
        <f>+F4/12</f>
        <v>1504388.1005747125</v>
      </c>
      <c r="H4" s="20">
        <f>+G4/30</f>
        <v>50146.270019157084</v>
      </c>
      <c r="I4" s="20">
        <f>+H4/8</f>
        <v>6268.2837523946355</v>
      </c>
      <c r="J4" s="21">
        <v>2</v>
      </c>
      <c r="K4" s="21">
        <v>12</v>
      </c>
      <c r="L4" s="21">
        <f>4*12</f>
        <v>48</v>
      </c>
      <c r="M4" s="20">
        <f>+I4*J4*K4*L4</f>
        <v>7221062.8827586193</v>
      </c>
      <c r="N4" s="16"/>
      <c r="O4" s="16"/>
      <c r="P4" s="16"/>
    </row>
    <row r="5" spans="2:16" x14ac:dyDescent="0.25">
      <c r="B5" s="344"/>
      <c r="C5" s="17" t="s">
        <v>109</v>
      </c>
      <c r="D5" s="20">
        <v>133757627.75</v>
      </c>
      <c r="E5" s="17"/>
      <c r="F5" s="17"/>
      <c r="G5" s="17"/>
      <c r="H5" s="17"/>
      <c r="I5" s="17"/>
      <c r="J5" s="17"/>
      <c r="K5" s="17"/>
      <c r="L5" s="17"/>
      <c r="M5" s="17"/>
      <c r="O5" s="16"/>
    </row>
    <row r="7" spans="2:16" ht="47.25" x14ac:dyDescent="0.25">
      <c r="B7" s="32" t="s">
        <v>129</v>
      </c>
      <c r="C7" s="22"/>
      <c r="D7" s="23" t="s">
        <v>106</v>
      </c>
      <c r="E7" s="23" t="s">
        <v>113</v>
      </c>
      <c r="F7" s="23" t="s">
        <v>115</v>
      </c>
      <c r="G7" s="23" t="s">
        <v>116</v>
      </c>
      <c r="H7" s="23" t="s">
        <v>123</v>
      </c>
      <c r="I7" s="23" t="s">
        <v>124</v>
      </c>
      <c r="J7" s="23" t="s">
        <v>127</v>
      </c>
      <c r="K7" s="23" t="s">
        <v>126</v>
      </c>
      <c r="L7" s="23" t="s">
        <v>128</v>
      </c>
      <c r="M7" s="13"/>
    </row>
    <row r="8" spans="2:16" ht="46.5" customHeight="1" x14ac:dyDescent="0.25">
      <c r="B8" s="23" t="s">
        <v>86</v>
      </c>
      <c r="C8" s="24" t="s">
        <v>108</v>
      </c>
      <c r="D8" s="35">
        <v>9</v>
      </c>
      <c r="E8" s="26">
        <f>+Hoja2!I4</f>
        <v>6268.2837523946355</v>
      </c>
      <c r="F8" s="25">
        <v>3.5</v>
      </c>
      <c r="G8" s="25">
        <v>9</v>
      </c>
      <c r="H8" s="25">
        <v>2</v>
      </c>
      <c r="I8" s="27">
        <f>+H8*F8</f>
        <v>7</v>
      </c>
      <c r="J8" s="27">
        <f>+I8*D8</f>
        <v>63</v>
      </c>
      <c r="K8" s="27">
        <f>+J8*12</f>
        <v>756</v>
      </c>
      <c r="L8" s="26">
        <f>+K8*E8</f>
        <v>4738822.5168103445</v>
      </c>
      <c r="M8" s="16"/>
      <c r="N8" s="16"/>
      <c r="O8" s="16"/>
      <c r="P8" s="16"/>
    </row>
    <row r="11" spans="2:16" ht="47.25" x14ac:dyDescent="0.25">
      <c r="B11" s="31" t="s">
        <v>130</v>
      </c>
      <c r="C11" s="28"/>
      <c r="D11" s="29" t="s">
        <v>106</v>
      </c>
      <c r="E11" s="29" t="s">
        <v>113</v>
      </c>
      <c r="F11" s="29" t="s">
        <v>115</v>
      </c>
      <c r="G11" s="29" t="s">
        <v>116</v>
      </c>
      <c r="H11" s="29" t="s">
        <v>123</v>
      </c>
      <c r="I11" s="29" t="s">
        <v>124</v>
      </c>
      <c r="J11" s="29" t="s">
        <v>127</v>
      </c>
      <c r="K11" s="29" t="s">
        <v>126</v>
      </c>
      <c r="L11" s="29" t="s">
        <v>128</v>
      </c>
      <c r="M11" s="13"/>
    </row>
    <row r="12" spans="2:16" ht="46.5" customHeight="1" x14ac:dyDescent="0.25">
      <c r="B12" s="29" t="s">
        <v>86</v>
      </c>
      <c r="C12" s="10" t="s">
        <v>108</v>
      </c>
      <c r="D12" s="34">
        <v>8</v>
      </c>
      <c r="E12" s="11">
        <v>7500</v>
      </c>
      <c r="F12" s="34">
        <v>2</v>
      </c>
      <c r="G12" s="34">
        <v>8</v>
      </c>
      <c r="H12" s="34">
        <v>2</v>
      </c>
      <c r="I12" s="30">
        <f>+H12*F12</f>
        <v>4</v>
      </c>
      <c r="J12" s="30">
        <f>+I12*D12</f>
        <v>32</v>
      </c>
      <c r="K12" s="30">
        <f>+J12*12</f>
        <v>384</v>
      </c>
      <c r="L12" s="11">
        <f>+K12*E12</f>
        <v>2880000</v>
      </c>
      <c r="M12" s="16"/>
      <c r="N12" s="16"/>
      <c r="O12" s="16"/>
      <c r="P12" s="16"/>
    </row>
    <row r="15" spans="2:16" ht="63" x14ac:dyDescent="0.25">
      <c r="B15" s="36" t="s">
        <v>133</v>
      </c>
      <c r="C15" s="37"/>
      <c r="D15" s="38" t="s">
        <v>106</v>
      </c>
      <c r="E15" s="38" t="s">
        <v>113</v>
      </c>
      <c r="F15" s="38" t="s">
        <v>115</v>
      </c>
      <c r="G15" s="38" t="s">
        <v>116</v>
      </c>
      <c r="H15" s="38" t="s">
        <v>123</v>
      </c>
      <c r="I15" s="38" t="s">
        <v>124</v>
      </c>
      <c r="J15" s="38" t="s">
        <v>134</v>
      </c>
      <c r="K15" s="38" t="s">
        <v>125</v>
      </c>
      <c r="L15" s="38" t="s">
        <v>128</v>
      </c>
      <c r="M15" s="13"/>
    </row>
    <row r="16" spans="2:16" ht="46.5" customHeight="1" x14ac:dyDescent="0.25">
      <c r="B16" s="38" t="s">
        <v>86</v>
      </c>
      <c r="C16" s="39" t="s">
        <v>108</v>
      </c>
      <c r="D16" s="40">
        <v>9</v>
      </c>
      <c r="E16" s="41">
        <v>7500</v>
      </c>
      <c r="F16" s="40">
        <v>3</v>
      </c>
      <c r="G16" s="40">
        <v>9</v>
      </c>
      <c r="H16" s="40">
        <v>4</v>
      </c>
      <c r="I16" s="42">
        <f>+H16*F16</f>
        <v>12</v>
      </c>
      <c r="J16" s="42">
        <f>+I16*D16</f>
        <v>108</v>
      </c>
      <c r="K16" s="42">
        <f>+J16*12</f>
        <v>1296</v>
      </c>
      <c r="L16" s="41">
        <f>+K16*E16</f>
        <v>9720000</v>
      </c>
      <c r="M16" s="16"/>
      <c r="N16" s="16"/>
      <c r="O16" s="16"/>
      <c r="P16" s="16"/>
    </row>
    <row r="18" spans="2:12" ht="47.25" x14ac:dyDescent="0.25">
      <c r="B18" s="239" t="s">
        <v>242</v>
      </c>
      <c r="C18" s="240"/>
      <c r="D18" s="241" t="s">
        <v>106</v>
      </c>
      <c r="E18" s="241" t="s">
        <v>113</v>
      </c>
      <c r="F18" s="241" t="s">
        <v>115</v>
      </c>
      <c r="G18" s="241" t="s">
        <v>116</v>
      </c>
      <c r="H18" s="241" t="s">
        <v>123</v>
      </c>
      <c r="I18" s="241" t="s">
        <v>124</v>
      </c>
      <c r="J18" s="241" t="s">
        <v>134</v>
      </c>
      <c r="K18" s="241" t="s">
        <v>125</v>
      </c>
      <c r="L18" s="241" t="s">
        <v>128</v>
      </c>
    </row>
    <row r="19" spans="2:12" ht="31.5" x14ac:dyDescent="0.25">
      <c r="B19" s="241" t="s">
        <v>86</v>
      </c>
      <c r="C19" s="242" t="s">
        <v>243</v>
      </c>
      <c r="D19" s="243">
        <v>10</v>
      </c>
      <c r="E19" s="244">
        <v>7500</v>
      </c>
      <c r="F19" s="243">
        <v>3</v>
      </c>
      <c r="G19" s="243">
        <v>9</v>
      </c>
      <c r="H19" s="243">
        <v>4</v>
      </c>
      <c r="I19" s="245">
        <f>+H19*F19</f>
        <v>12</v>
      </c>
      <c r="J19" s="245">
        <f>+I19*D19</f>
        <v>120</v>
      </c>
      <c r="K19" s="245">
        <f>+J19*12</f>
        <v>1440</v>
      </c>
      <c r="L19" s="244">
        <f>+K19*E19</f>
        <v>10800000</v>
      </c>
    </row>
    <row r="21" spans="2:12" ht="63" x14ac:dyDescent="0.25">
      <c r="B21" s="246" t="s">
        <v>248</v>
      </c>
      <c r="C21" s="247"/>
      <c r="D21" s="238" t="s">
        <v>106</v>
      </c>
      <c r="E21" s="238" t="s">
        <v>113</v>
      </c>
      <c r="F21" s="238" t="s">
        <v>115</v>
      </c>
      <c r="G21" s="238" t="s">
        <v>116</v>
      </c>
      <c r="H21" s="238" t="s">
        <v>250</v>
      </c>
      <c r="I21" s="238" t="s">
        <v>124</v>
      </c>
      <c r="J21" s="238" t="s">
        <v>134</v>
      </c>
      <c r="K21" s="238" t="s">
        <v>125</v>
      </c>
      <c r="L21" s="238" t="s">
        <v>128</v>
      </c>
    </row>
    <row r="22" spans="2:12" ht="31.5" x14ac:dyDescent="0.25">
      <c r="B22" s="238" t="s">
        <v>86</v>
      </c>
      <c r="C22" s="19" t="s">
        <v>249</v>
      </c>
      <c r="D22" s="21">
        <v>10</v>
      </c>
      <c r="E22" s="20">
        <f>2065000/240</f>
        <v>8604.1666666666661</v>
      </c>
      <c r="F22" s="21">
        <v>8</v>
      </c>
      <c r="G22" s="21">
        <v>10</v>
      </c>
      <c r="H22" s="21">
        <f>40*4.33</f>
        <v>173.2</v>
      </c>
      <c r="I22" s="248">
        <f>+H22</f>
        <v>173.2</v>
      </c>
      <c r="J22" s="17">
        <f>+I22*D22</f>
        <v>1732</v>
      </c>
      <c r="K22" s="17">
        <f>+J22*12</f>
        <v>20784</v>
      </c>
      <c r="L22" s="20">
        <f>+K22*E22</f>
        <v>178829000</v>
      </c>
    </row>
    <row r="25" spans="2:12" ht="63" x14ac:dyDescent="0.25">
      <c r="B25" s="246" t="s">
        <v>278</v>
      </c>
      <c r="C25" s="247"/>
      <c r="D25" s="263" t="s">
        <v>106</v>
      </c>
      <c r="E25" s="263" t="s">
        <v>113</v>
      </c>
      <c r="F25" s="263" t="s">
        <v>115</v>
      </c>
      <c r="G25" s="263" t="s">
        <v>116</v>
      </c>
      <c r="H25" s="263" t="s">
        <v>250</v>
      </c>
      <c r="I25" s="263" t="s">
        <v>124</v>
      </c>
      <c r="J25" s="263" t="s">
        <v>134</v>
      </c>
      <c r="K25" s="263" t="s">
        <v>125</v>
      </c>
      <c r="L25" s="263" t="s">
        <v>128</v>
      </c>
    </row>
    <row r="26" spans="2:12" ht="31.5" x14ac:dyDescent="0.25">
      <c r="B26" s="263" t="s">
        <v>86</v>
      </c>
      <c r="C26" s="19"/>
      <c r="D26" s="21">
        <v>8</v>
      </c>
      <c r="E26" s="20">
        <v>7500</v>
      </c>
      <c r="F26" s="21">
        <v>8</v>
      </c>
      <c r="G26" s="21">
        <v>8</v>
      </c>
      <c r="H26" s="21">
        <f>40*4.33</f>
        <v>173.2</v>
      </c>
      <c r="I26" s="248">
        <f>+H26</f>
        <v>173.2</v>
      </c>
      <c r="J26" s="17">
        <f>+I26*D26</f>
        <v>1385.6</v>
      </c>
      <c r="K26" s="17">
        <f>+J26*12</f>
        <v>16627.199999999997</v>
      </c>
      <c r="L26" s="20">
        <f>+K26*E26</f>
        <v>124703999.99999999</v>
      </c>
    </row>
    <row r="28" spans="2:12" ht="31.5" x14ac:dyDescent="0.25">
      <c r="B28" s="246" t="s">
        <v>279</v>
      </c>
      <c r="C28" s="247"/>
      <c r="D28" s="263" t="s">
        <v>106</v>
      </c>
      <c r="E28" s="263" t="s">
        <v>113</v>
      </c>
      <c r="F28" s="263" t="s">
        <v>115</v>
      </c>
      <c r="G28" s="263" t="s">
        <v>116</v>
      </c>
      <c r="H28" s="263" t="s">
        <v>250</v>
      </c>
      <c r="I28" s="263" t="s">
        <v>124</v>
      </c>
      <c r="J28" s="263" t="s">
        <v>134</v>
      </c>
      <c r="K28" s="263" t="s">
        <v>125</v>
      </c>
      <c r="L28" s="263" t="s">
        <v>128</v>
      </c>
    </row>
    <row r="29" spans="2:12" ht="31.5" x14ac:dyDescent="0.25">
      <c r="B29" s="263" t="s">
        <v>86</v>
      </c>
      <c r="C29" s="19"/>
      <c r="D29" s="21">
        <v>8</v>
      </c>
      <c r="E29" s="20">
        <v>7500</v>
      </c>
      <c r="F29" s="21">
        <v>8</v>
      </c>
      <c r="G29" s="21">
        <v>8</v>
      </c>
      <c r="H29" s="21">
        <f>40*4.33</f>
        <v>173.2</v>
      </c>
      <c r="I29" s="248">
        <f>+H29</f>
        <v>173.2</v>
      </c>
      <c r="J29" s="17">
        <f>+I29*D29</f>
        <v>1385.6</v>
      </c>
      <c r="K29" s="17">
        <f>+J29*12</f>
        <v>16627.199999999997</v>
      </c>
      <c r="L29" s="20">
        <f>+K29*E29</f>
        <v>124703999.99999999</v>
      </c>
    </row>
    <row r="30" spans="2:12" x14ac:dyDescent="0.25">
      <c r="L30" s="12" t="s">
        <v>280</v>
      </c>
    </row>
    <row r="38" spans="4:14" x14ac:dyDescent="0.25">
      <c r="D38" s="14" t="s">
        <v>110</v>
      </c>
      <c r="E38" s="14"/>
      <c r="F38" s="15"/>
      <c r="G38" s="15"/>
      <c r="H38" s="15"/>
      <c r="I38" s="15"/>
      <c r="J38" s="15"/>
      <c r="K38" s="15"/>
      <c r="L38" s="15"/>
      <c r="M38" s="15"/>
      <c r="N38" s="15"/>
    </row>
    <row r="39" spans="4:14" x14ac:dyDescent="0.25">
      <c r="D39" s="14" t="s">
        <v>111</v>
      </c>
      <c r="E39" s="14"/>
      <c r="F39" s="15"/>
      <c r="G39" s="15"/>
      <c r="H39" s="15"/>
      <c r="I39" s="15"/>
      <c r="J39" s="15"/>
      <c r="K39" s="15"/>
      <c r="L39" s="15"/>
      <c r="M39" s="15"/>
      <c r="N39" s="15"/>
    </row>
    <row r="40" spans="4:14" x14ac:dyDescent="0.25">
      <c r="D40" s="345" t="s">
        <v>112</v>
      </c>
      <c r="E40" s="345"/>
      <c r="F40" s="345"/>
      <c r="G40" s="345"/>
      <c r="H40" s="345"/>
      <c r="I40" s="345"/>
      <c r="J40" s="345"/>
      <c r="K40" s="345"/>
      <c r="L40" s="345"/>
      <c r="M40" s="345"/>
      <c r="N40" s="345"/>
    </row>
    <row r="41" spans="4:14" x14ac:dyDescent="0.25">
      <c r="D41" s="345"/>
      <c r="E41" s="345"/>
      <c r="F41" s="345"/>
      <c r="G41" s="345"/>
      <c r="H41" s="345"/>
      <c r="I41" s="345"/>
      <c r="J41" s="345"/>
      <c r="K41" s="345"/>
      <c r="L41" s="345"/>
      <c r="M41" s="345"/>
      <c r="N41" s="345"/>
    </row>
  </sheetData>
  <mergeCells count="2">
    <mergeCell ref="B4:B5"/>
    <mergeCell ref="D40:N4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09BA3-00C5-4B6B-97C9-7CDD7055CFDE}">
  <dimension ref="A2:L9"/>
  <sheetViews>
    <sheetView showGridLines="0" zoomScale="92" zoomScaleNormal="92" workbookViewId="0">
      <selection activeCell="A3" sqref="A3:L9"/>
    </sheetView>
  </sheetViews>
  <sheetFormatPr baseColWidth="10" defaultRowHeight="15.75" x14ac:dyDescent="0.25"/>
  <cols>
    <col min="1" max="1" width="38.875" style="8" customWidth="1"/>
    <col min="2" max="2" width="20.5" style="8" customWidth="1"/>
    <col min="3" max="5" width="23.875" style="8" customWidth="1"/>
    <col min="6" max="6" width="22.625" style="8" customWidth="1"/>
    <col min="7" max="7" width="23" style="8" customWidth="1"/>
    <col min="8" max="8" width="22.625" style="8" customWidth="1"/>
    <col min="9" max="10" width="8.375" style="8" customWidth="1"/>
    <col min="11" max="11" width="19.875" style="8" customWidth="1"/>
    <col min="12" max="12" width="27.875" style="8" customWidth="1"/>
  </cols>
  <sheetData>
    <row r="2" spans="1:12" s="9" customFormat="1" x14ac:dyDescent="0.25">
      <c r="A2" s="8"/>
      <c r="B2" s="8"/>
      <c r="C2" s="8"/>
      <c r="D2" s="8"/>
      <c r="E2" s="8"/>
      <c r="F2" s="8"/>
      <c r="G2" s="8"/>
      <c r="H2" s="8"/>
      <c r="I2" s="8"/>
      <c r="J2" s="8"/>
      <c r="K2" s="8"/>
      <c r="L2" s="8"/>
    </row>
    <row r="3" spans="1:12" s="62" customFormat="1" x14ac:dyDescent="0.25">
      <c r="A3" s="64" t="s">
        <v>6</v>
      </c>
      <c r="B3" s="346" t="s">
        <v>27</v>
      </c>
      <c r="C3" s="346"/>
      <c r="D3" s="346"/>
      <c r="E3" s="346"/>
      <c r="F3" s="346"/>
      <c r="G3" s="346"/>
      <c r="H3" s="346"/>
      <c r="I3" s="346"/>
      <c r="J3" s="346"/>
      <c r="K3" s="346"/>
      <c r="L3" s="346"/>
    </row>
    <row r="4" spans="1:12" s="62" customFormat="1" ht="24" customHeight="1" x14ac:dyDescent="0.25">
      <c r="A4" s="65" t="s">
        <v>7</v>
      </c>
      <c r="B4" s="347" t="s">
        <v>20</v>
      </c>
      <c r="C4" s="347"/>
      <c r="D4" s="347"/>
      <c r="E4" s="347"/>
      <c r="F4" s="347"/>
      <c r="G4" s="347"/>
      <c r="H4" s="347"/>
      <c r="I4" s="347"/>
      <c r="J4" s="347"/>
      <c r="K4" s="347"/>
      <c r="L4" s="347"/>
    </row>
    <row r="5" spans="1:12" s="63" customFormat="1" ht="32.1" customHeight="1" x14ac:dyDescent="0.25">
      <c r="A5" s="351" t="s">
        <v>19</v>
      </c>
      <c r="B5" s="352" t="s">
        <v>8</v>
      </c>
      <c r="C5" s="350" t="s">
        <v>10</v>
      </c>
      <c r="D5" s="350" t="s">
        <v>34</v>
      </c>
      <c r="E5" s="350"/>
      <c r="F5" s="350" t="s">
        <v>13</v>
      </c>
      <c r="G5" s="350" t="s">
        <v>16</v>
      </c>
      <c r="H5" s="350"/>
      <c r="I5" s="350" t="s">
        <v>14</v>
      </c>
      <c r="J5" s="66"/>
      <c r="K5" s="350" t="s">
        <v>102</v>
      </c>
      <c r="L5" s="350" t="s">
        <v>0</v>
      </c>
    </row>
    <row r="6" spans="1:12" s="63" customFormat="1" ht="20.45" customHeight="1" x14ac:dyDescent="0.25">
      <c r="A6" s="351"/>
      <c r="B6" s="352"/>
      <c r="C6" s="350"/>
      <c r="D6" s="67" t="s">
        <v>11</v>
      </c>
      <c r="E6" s="67" t="s">
        <v>12</v>
      </c>
      <c r="F6" s="350"/>
      <c r="G6" s="67" t="s">
        <v>11</v>
      </c>
      <c r="H6" s="67" t="s">
        <v>12</v>
      </c>
      <c r="I6" s="350"/>
      <c r="J6" s="68"/>
      <c r="K6" s="350"/>
      <c r="L6" s="350"/>
    </row>
    <row r="7" spans="1:12" s="1" customFormat="1" ht="146.1" customHeight="1" x14ac:dyDescent="0.25">
      <c r="A7" s="348" t="s">
        <v>2</v>
      </c>
      <c r="B7" s="348" t="s">
        <v>195</v>
      </c>
      <c r="C7" s="348" t="s">
        <v>171</v>
      </c>
      <c r="D7" s="54" t="s">
        <v>170</v>
      </c>
      <c r="E7" s="54" t="s">
        <v>173</v>
      </c>
      <c r="F7" s="50" t="s">
        <v>172</v>
      </c>
      <c r="G7" s="46" t="s">
        <v>162</v>
      </c>
      <c r="H7" s="47" t="s">
        <v>163</v>
      </c>
      <c r="I7" s="52">
        <v>0</v>
      </c>
      <c r="J7" s="52" t="s">
        <v>197</v>
      </c>
      <c r="K7" s="53">
        <f>+((350+350))</f>
        <v>700</v>
      </c>
      <c r="L7" s="47" t="s">
        <v>5</v>
      </c>
    </row>
    <row r="8" spans="1:12" s="1" customFormat="1" ht="117.95" customHeight="1" x14ac:dyDescent="0.25">
      <c r="A8" s="348"/>
      <c r="B8" s="348"/>
      <c r="C8" s="348"/>
      <c r="D8" s="54"/>
      <c r="E8" s="55"/>
      <c r="F8" s="51" t="s">
        <v>166</v>
      </c>
      <c r="G8" s="48" t="s">
        <v>167</v>
      </c>
      <c r="H8" s="43" t="s">
        <v>156</v>
      </c>
      <c r="I8" s="56">
        <v>0</v>
      </c>
      <c r="J8" s="56" t="s">
        <v>198</v>
      </c>
      <c r="K8" s="57">
        <v>24</v>
      </c>
      <c r="L8" s="43" t="s">
        <v>104</v>
      </c>
    </row>
    <row r="9" spans="1:12" s="1" customFormat="1" ht="84.95" customHeight="1" x14ac:dyDescent="0.25">
      <c r="A9" s="349"/>
      <c r="B9" s="349"/>
      <c r="C9" s="349"/>
      <c r="D9" s="58"/>
      <c r="E9" s="59"/>
      <c r="F9" s="60"/>
      <c r="G9" s="49" t="s">
        <v>165</v>
      </c>
      <c r="H9" s="44" t="s">
        <v>168</v>
      </c>
      <c r="I9" s="61">
        <v>0</v>
      </c>
      <c r="J9" s="61" t="s">
        <v>199</v>
      </c>
      <c r="K9" s="57">
        <f>+(2.599*5)</f>
        <v>12.995000000000001</v>
      </c>
      <c r="L9" s="43" t="s">
        <v>142</v>
      </c>
    </row>
  </sheetData>
  <mergeCells count="14">
    <mergeCell ref="B3:L3"/>
    <mergeCell ref="B4:L4"/>
    <mergeCell ref="A7:A9"/>
    <mergeCell ref="B7:B9"/>
    <mergeCell ref="C7:C9"/>
    <mergeCell ref="G5:H5"/>
    <mergeCell ref="K5:K6"/>
    <mergeCell ref="L5:L6"/>
    <mergeCell ref="I5:I6"/>
    <mergeCell ref="A5:A6"/>
    <mergeCell ref="B5:B6"/>
    <mergeCell ref="C5:C6"/>
    <mergeCell ref="D5:E5"/>
    <mergeCell ref="F5: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MJP PEI 2022 2026</vt:lpstr>
      <vt:lpstr>Eje No 1</vt:lpstr>
      <vt:lpstr>Eje No 2</vt:lpstr>
      <vt:lpstr>Eje No 3</vt:lpstr>
      <vt:lpstr>Estimación Presupuestaría</vt:lpstr>
      <vt:lpstr>Cantidad </vt:lpstr>
      <vt:lpstr>Recursos Indicador N 3 Eje 1</vt:lpstr>
      <vt:lpstr>Hoja2</vt:lpstr>
      <vt:lpstr>Eje No 2 (2)</vt:lpstr>
      <vt:lpstr>Lista de 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Alicia Sanchez Montero</cp:lastModifiedBy>
  <dcterms:created xsi:type="dcterms:W3CDTF">2021-05-13T13:29:06Z</dcterms:created>
  <dcterms:modified xsi:type="dcterms:W3CDTF">2023-03-21T20:01:54Z</dcterms:modified>
</cp:coreProperties>
</file>